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21.xml"/>
  <Override ContentType="application/vnd.openxmlformats-officedocument.spreadsheetml.comments+xml" PartName="/xl/comments39.xml"/>
  <Override ContentType="application/vnd.openxmlformats-officedocument.spreadsheetml.comments+xml" PartName="/xl/comments26.xml"/>
  <Override ContentType="application/vnd.openxmlformats-officedocument.spreadsheetml.comments+xml" PartName="/xl/comments34.xml"/>
  <Override ContentType="application/vnd.openxmlformats-officedocument.spreadsheetml.comments+xml" PartName="/xl/comments9.xml"/>
  <Override ContentType="application/vnd.openxmlformats-officedocument.spreadsheetml.comments+xml" PartName="/xl/comments30.xml"/>
  <Override ContentType="application/vnd.openxmlformats-officedocument.spreadsheetml.comments+xml" PartName="/xl/comments13.xml"/>
  <Override ContentType="application/vnd.openxmlformats-officedocument.spreadsheetml.comments+xml" PartName="/xl/comments47.xml"/>
  <Override ContentType="application/vnd.openxmlformats-officedocument.spreadsheetml.comments+xml" PartName="/xl/comments4.xml"/>
  <Override ContentType="application/vnd.openxmlformats-officedocument.spreadsheetml.comments+xml" PartName="/xl/comments43.xml"/>
  <Override ContentType="application/vnd.openxmlformats-officedocument.spreadsheetml.comments+xml" PartName="/xl/comments17.xml"/>
  <Override ContentType="application/vnd.openxmlformats-officedocument.spreadsheetml.comments+xml" PartName="/xl/comments8.xml"/>
  <Override ContentType="application/vnd.openxmlformats-officedocument.spreadsheetml.comments+xml" PartName="/xl/comments14.xml"/>
  <Override ContentType="application/vnd.openxmlformats-officedocument.spreadsheetml.comments+xml" PartName="/xl/comments27.xml"/>
  <Override ContentType="application/vnd.openxmlformats-officedocument.spreadsheetml.comments+xml" PartName="/xl/comments35.xml"/>
  <Override ContentType="application/vnd.openxmlformats-officedocument.spreadsheetml.comments+xml" PartName="/xl/comments22.xml"/>
  <Override ContentType="application/vnd.openxmlformats-officedocument.spreadsheetml.comments+xml" PartName="/xl/comments48.xml"/>
  <Override ContentType="application/vnd.openxmlformats-officedocument.spreadsheetml.comments+xml" PartName="/xl/comments31.xml"/>
  <Override ContentType="application/vnd.openxmlformats-officedocument.spreadsheetml.comments+xml" PartName="/xl/comments44.xml"/>
  <Override ContentType="application/vnd.openxmlformats-officedocument.spreadsheetml.comments+xml" PartName="/xl/comments3.xml"/>
  <Override ContentType="application/vnd.openxmlformats-officedocument.spreadsheetml.comments+xml" PartName="/xl/comments18.xml"/>
  <Override ContentType="application/vnd.openxmlformats-officedocument.spreadsheetml.comments+xml" PartName="/xl/comments15.xml"/>
  <Override ContentType="application/vnd.openxmlformats-officedocument.spreadsheetml.comments+xml" PartName="/xl/comments40.xml"/>
  <Override ContentType="application/vnd.openxmlformats-officedocument.spreadsheetml.comments+xml" PartName="/xl/comments45.xml"/>
  <Override ContentType="application/vnd.openxmlformats-officedocument.spreadsheetml.comments+xml" PartName="/xl/comments7.xml"/>
  <Override ContentType="application/vnd.openxmlformats-officedocument.spreadsheetml.comments+xml" PartName="/xl/comments32.xml"/>
  <Override ContentType="application/vnd.openxmlformats-officedocument.spreadsheetml.comments+xml" PartName="/xl/comments10.xml"/>
  <Override ContentType="application/vnd.openxmlformats-officedocument.spreadsheetml.comments+xml" PartName="/xl/comments23.xml"/>
  <Override ContentType="application/vnd.openxmlformats-officedocument.spreadsheetml.comments+xml" PartName="/xl/comments37.xml"/>
  <Override ContentType="application/vnd.openxmlformats-officedocument.spreadsheetml.comments+xml" PartName="/xl/comments24.xml"/>
  <Override ContentType="application/vnd.openxmlformats-officedocument.spreadsheetml.comments+xml" PartName="/xl/comments36.xml"/>
  <Override ContentType="application/vnd.openxmlformats-officedocument.spreadsheetml.comments+xml" PartName="/xl/comments6.xml"/>
  <Override ContentType="application/vnd.openxmlformats-officedocument.spreadsheetml.comments+xml" PartName="/xl/comments28.xml"/>
  <Override ContentType="application/vnd.openxmlformats-officedocument.spreadsheetml.comments+xml" PartName="/xl/comments41.xml"/>
  <Override ContentType="application/vnd.openxmlformats-officedocument.spreadsheetml.comments+xml" PartName="/xl/comments19.xml"/>
  <Override ContentType="application/vnd.openxmlformats-officedocument.spreadsheetml.comments+xml" PartName="/xl/comments2.xml"/>
  <Override ContentType="application/vnd.openxmlformats-officedocument.spreadsheetml.comments+xml" PartName="/xl/comments46.xml"/>
  <Override ContentType="application/vnd.openxmlformats-officedocument.spreadsheetml.comments+xml" PartName="/xl/comments33.xml"/>
  <Override ContentType="application/vnd.openxmlformats-officedocument.spreadsheetml.comments+xml" PartName="/xl/comments11.xml"/>
  <Override ContentType="application/vnd.openxmlformats-officedocument.spreadsheetml.comments+xml" PartName="/xl/comments20.xml"/>
  <Override ContentType="application/vnd.openxmlformats-officedocument.spreadsheetml.comments+xml" PartName="/xl/comments25.xml"/>
  <Override ContentType="application/vnd.openxmlformats-officedocument.spreadsheetml.comments+xml" PartName="/xl/comments38.xml"/>
  <Override ContentType="application/vnd.openxmlformats-officedocument.spreadsheetml.comments+xml" PartName="/xl/comments12.xml"/>
  <Override ContentType="application/vnd.openxmlformats-officedocument.spreadsheetml.comments+xml" PartName="/xl/comments5.xml"/>
  <Override ContentType="application/vnd.openxmlformats-officedocument.spreadsheetml.comments+xml" PartName="/xl/comments29.xml"/>
  <Override ContentType="application/vnd.openxmlformats-officedocument.spreadsheetml.comments+xml" PartName="/xl/comments1.xml"/>
  <Override ContentType="application/vnd.openxmlformats-officedocument.spreadsheetml.comments+xml" PartName="/xl/comments16.xml"/>
  <Override ContentType="application/vnd.openxmlformats-officedocument.spreadsheetml.comments+xml" PartName="/xl/comments4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alue-cost worksheet" sheetId="1" r:id="rId3"/>
    <sheet state="visible" name="mixed used-colum" sheetId="2" r:id="rId4"/>
    <sheet state="visible" name="Davis bacon" sheetId="3" r:id="rId5"/>
    <sheet state="visible" name="5000 Forest in Columbia, SC" sheetId="4" r:id="rId6"/>
    <sheet state="visible" name="focus- high rise" sheetId="5" r:id="rId7"/>
    <sheet state="visible" name="crescent dillworth" sheetId="6" r:id="rId8"/>
    <sheet state="visible" name="gateway" sheetId="7" r:id="rId9"/>
    <sheet state="visible" name="glenridge" sheetId="8" r:id="rId10"/>
    <sheet state="visible" name="ARTC" sheetId="9" r:id="rId11"/>
    <sheet state="visible" name="marriott-hamilton" sheetId="10" r:id="rId12"/>
    <sheet state="visible" name="ironworks" sheetId="11" r:id="rId13"/>
    <sheet state="visible" name="Louisville ky" sheetId="12" r:id="rId14"/>
    <sheet state="visible" name="720 NORTHWESTERN" sheetId="13" r:id="rId15"/>
    <sheet state="visible" name="melrose" sheetId="14" r:id="rId16"/>
    <sheet state="visible" name="capital o" sheetId="15" r:id="rId17"/>
    <sheet state="visible" name="north shore" sheetId="16" r:id="rId18"/>
    <sheet state="visible" name="CITY CENTER-SR HSING" sheetId="17" r:id="rId19"/>
    <sheet state="visible" name="PONCE" sheetId="18" r:id="rId20"/>
    <sheet state="visible" name="11 SOUTH" sheetId="19" r:id="rId21"/>
    <sheet state="visible" name="weehaken" sheetId="20" r:id="rId22"/>
    <sheet state="visible" name="corona-mo" sheetId="21" r:id="rId23"/>
    <sheet state="visible" name="mariott-murry" sheetId="22" r:id="rId24"/>
    <sheet state="visible" name="Midtown Green" sheetId="23" r:id="rId25"/>
    <sheet state="visible" name="rhett wardlaw" sheetId="24" r:id="rId26"/>
    <sheet state="visible" name="allen oneil" sheetId="25" r:id="rId27"/>
    <sheet state="visible" name="leonard apts-ny" sheetId="26" r:id="rId28"/>
    <sheet state="visible" name="heritage-TN" sheetId="27" r:id="rId29"/>
    <sheet state="visible" name="1717 ridge" sheetId="28" r:id="rId30"/>
    <sheet state="visible" name="hampton inn- OH" sheetId="29" r:id="rId31"/>
    <sheet state="visible" name="cameron-nc" sheetId="30" r:id="rId32"/>
    <sheet state="visible" name="13th Street Apartments" sheetId="31" r:id="rId33"/>
    <sheet state="visible" name="otis" sheetId="32" r:id="rId34"/>
    <sheet state="visible" name="Hampton Village-FL" sheetId="33" r:id="rId35"/>
    <sheet state="visible" name="poyd" sheetId="34" r:id="rId36"/>
    <sheet state="visible" name="Dixon Mills Ph 33 &amp; 34" sheetId="35" r:id="rId37"/>
    <sheet state="visible" name="bond" sheetId="36" r:id="rId38"/>
    <sheet state="visible" name="rockview" sheetId="37" r:id="rId39"/>
    <sheet state="visible" name="southpointe" sheetId="38" r:id="rId40"/>
    <sheet state="visible" name="silverthorne" sheetId="39" r:id="rId41"/>
    <sheet state="visible" name="cumberland" sheetId="40" r:id="rId42"/>
    <sheet state="visible" name="River Commons_x000a_" sheetId="41" r:id="rId43"/>
    <sheet state="visible" name="mission bay2" sheetId="42" r:id="rId44"/>
    <sheet state="visible" name="The Patterson" sheetId="43" r:id="rId45"/>
    <sheet state="visible" name="worthington" sheetId="44" r:id="rId46"/>
    <sheet state="visible" name="foxland" sheetId="45" r:id="rId47"/>
    <sheet state="visible" name="THA Cedar Point " sheetId="46" r:id="rId48"/>
    <sheet state="visible" name="taylor yard 3" sheetId="47" r:id="rId49"/>
    <sheet state="visible" name="circle cool" sheetId="48" r:id="rId50"/>
    <sheet state="visible" name="cool springs" sheetId="49" r:id="rId51"/>
    <sheet state="visible" name="oaks naperville" sheetId="50" r:id="rId5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1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2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3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4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# was given by James from FMC- project manager
</t>
      </text>
    </comment>
  </commentList>
</comments>
</file>

<file path=xl/sharedStrings.xml><?xml version="1.0" encoding="utf-8"?>
<sst xmlns="http://schemas.openxmlformats.org/spreadsheetml/2006/main" count="2839" uniqueCount="140">
  <si>
    <t>mon</t>
  </si>
  <si>
    <t>Urban Outfitters-NY-pace bldg</t>
  </si>
  <si>
    <t>Labor</t>
  </si>
  <si>
    <t>Hrs</t>
  </si>
  <si>
    <t>Tot. Man HRs</t>
  </si>
  <si>
    <t>Units</t>
  </si>
  <si>
    <t>Time per unit</t>
  </si>
  <si>
    <t>Hrly rate</t>
  </si>
  <si>
    <t>Cost per unit</t>
  </si>
  <si>
    <t>Bedroom</t>
  </si>
  <si>
    <t xml:space="preserve">Price </t>
  </si>
  <si>
    <t>tues</t>
  </si>
  <si>
    <t>wed</t>
  </si>
  <si>
    <t>thurs</t>
  </si>
  <si>
    <t>fri</t>
  </si>
  <si>
    <t>sat</t>
  </si>
  <si>
    <t>sun</t>
  </si>
  <si>
    <t>total hrs</t>
  </si>
  <si>
    <t>rate of pay</t>
  </si>
  <si>
    <t>gross earned</t>
  </si>
  <si>
    <t>fica</t>
  </si>
  <si>
    <t>withholding</t>
  </si>
  <si>
    <t>total ded</t>
  </si>
  <si>
    <t>net earned</t>
  </si>
  <si>
    <t>Rooms</t>
  </si>
  <si>
    <t>Final</t>
  </si>
  <si>
    <t>Rough</t>
  </si>
  <si>
    <t>Powder Puff</t>
  </si>
  <si>
    <t>BRANDON INNISS</t>
  </si>
  <si>
    <t>Powder</t>
  </si>
  <si>
    <t>in email for davis bacon jobs</t>
  </si>
  <si>
    <t>email me to get the download copy for yourself</t>
  </si>
  <si>
    <t>We know we need to submit davis bacon weekly payroll sheets</t>
  </si>
  <si>
    <t>confirm the name we shall use for : Project and Location.. We would have used  (opportunity name and city)</t>
  </si>
  <si>
    <t>confirm the project or contract no:</t>
  </si>
  <si>
    <t xml:space="preserve">for each contact name in column 1. do you need the last 4 after name </t>
  </si>
  <si>
    <t>shall we put the address for each contact on all payroll sheets?</t>
  </si>
  <si>
    <t>Bubu Cleaning Services | CCP</t>
  </si>
  <si>
    <t>(202) 544 -1353</t>
  </si>
  <si>
    <t>brandon@constructioncleanpartners.com</t>
  </si>
  <si>
    <t>service date</t>
  </si>
  <si>
    <t>laborers</t>
  </si>
  <si>
    <t>hours</t>
  </si>
  <si>
    <t>Daily cost</t>
  </si>
  <si>
    <t>Following are the days we worked at Urban Fitters</t>
  </si>
  <si>
    <t>Thursday  Jan 2, 8 laborers  for 8hours</t>
  </si>
  <si>
    <t>$1,600 change order</t>
  </si>
  <si>
    <t>Friday Jan 3rd,   9 laborers   9hours</t>
  </si>
  <si>
    <t>Saturday  Jan 4th, 9 laborers</t>
  </si>
  <si>
    <t>fluff</t>
  </si>
  <si>
    <t>Sunday  Jan 5th    7 laborers   change order put in for $1,600.00</t>
  </si>
  <si>
    <t>contract termination</t>
  </si>
  <si>
    <t>direct labor cost</t>
  </si>
  <si>
    <t>Monday Jan 6th  8 laborers for 8hrs</t>
  </si>
  <si>
    <t>overhead cost</t>
  </si>
  <si>
    <t>Estimated value</t>
  </si>
  <si>
    <t>Tuesday Jan 7th   8 laborers for 9hrs</t>
  </si>
  <si>
    <t>full week workloads</t>
  </si>
  <si>
    <t>hrs worked</t>
  </si>
  <si>
    <t>t&amp;m cost</t>
  </si>
  <si>
    <t>total  cost</t>
  </si>
  <si>
    <t>Tuesday Jan  14th  9 laborers   9hrs</t>
  </si>
  <si>
    <t>Wednesday Jan Jan 15th  7 laborers for 8hrs</t>
  </si>
  <si>
    <t>Thursday   Jan 16th     7 laborers for 8hrs</t>
  </si>
  <si>
    <t>days</t>
  </si>
  <si>
    <t>cost</t>
  </si>
  <si>
    <t>Friday  January 17th   4 laborers for 3hrs,   contract terminated.</t>
  </si>
  <si>
    <t>Exterior glass not done.   assigned hours to complete the job is 8hrs   4 window cleaners</t>
  </si>
  <si>
    <t>Total worked to be done 10 hours 7 laborers.</t>
  </si>
  <si>
    <t>Please do the Math and lets discuss.</t>
  </si>
  <si>
    <t>Total Price</t>
  </si>
  <si>
    <t>Final Clean Labor</t>
  </si>
  <si>
    <t>Rough Clean Labor</t>
  </si>
  <si>
    <t>Powder Puff Labor</t>
  </si>
  <si>
    <t>common</t>
  </si>
  <si>
    <t>ClubHouse</t>
  </si>
  <si>
    <t>SF</t>
  </si>
  <si>
    <t>Cost</t>
  </si>
  <si>
    <t>Total Units</t>
  </si>
  <si>
    <t>Total unit price</t>
  </si>
  <si>
    <t>Misc</t>
  </si>
  <si>
    <t>unit price</t>
  </si>
  <si>
    <t>COST</t>
  </si>
  <si>
    <t>Square Footage</t>
  </si>
  <si>
    <t>Commission</t>
  </si>
  <si>
    <t>Total Cost- rough and final</t>
  </si>
  <si>
    <t>Non Union</t>
  </si>
  <si>
    <t>Union Rate</t>
  </si>
  <si>
    <t>rate</t>
  </si>
  <si>
    <t>Net Profit</t>
  </si>
  <si>
    <t>Gross Profit</t>
  </si>
  <si>
    <t>Project Manager Goal</t>
  </si>
  <si>
    <t>MOBILIZATION ESTIMATING PRICES</t>
  </si>
  <si>
    <t>ACTUAL UNIT COST FROM ABOVE</t>
  </si>
  <si>
    <t>4 mobilization sf. Prices</t>
  </si>
  <si>
    <t>.10 cents persf</t>
  </si>
  <si>
    <t>Negoitated Price</t>
  </si>
  <si>
    <t>rough unit</t>
  </si>
  <si>
    <t>.14 cents per sf</t>
  </si>
  <si>
    <t>final</t>
  </si>
  <si>
    <t>.06 cents per sf</t>
  </si>
  <si>
    <t>Fluff</t>
  </si>
  <si>
    <t>no 4th mobilization</t>
  </si>
  <si>
    <t>total pricing</t>
  </si>
  <si>
    <t>After proposal</t>
  </si>
  <si>
    <t>Project Manager budget</t>
  </si>
  <si>
    <t>Price per unit if pm meets budget</t>
  </si>
  <si>
    <t>submitting price per sf</t>
  </si>
  <si>
    <t>BASEMENT</t>
  </si>
  <si>
    <t>1,2,3 FLOOR</t>
  </si>
  <si>
    <t>2,3,4TH FLOORS</t>
  </si>
  <si>
    <t>Awarded Price</t>
  </si>
  <si>
    <t>UNIT SIZES</t>
  </si>
  <si>
    <t>Awarded price per unit</t>
  </si>
  <si>
    <t>https://final-clean.my.salesforce.com/006E000000FyYy5</t>
  </si>
  <si>
    <t>bldg</t>
  </si>
  <si>
    <t>units</t>
  </si>
  <si>
    <t>sf</t>
  </si>
  <si>
    <t>clubhouse</t>
  </si>
  <si>
    <t xml:space="preserve">if pricing at </t>
  </si>
  <si>
    <t>total buildings</t>
  </si>
  <si>
    <t>1st mob</t>
  </si>
  <si>
    <t>63 percent needs cleaning</t>
  </si>
  <si>
    <t>sf prices</t>
  </si>
  <si>
    <t>cpomplete</t>
  </si>
  <si>
    <t>2nd mob</t>
  </si>
  <si>
    <t>non complete</t>
  </si>
  <si>
    <t>3 mob</t>
  </si>
  <si>
    <t>rough</t>
  </si>
  <si>
    <t># of buildings complete</t>
  </si>
  <si>
    <t>not touched</t>
  </si>
  <si>
    <t>MOBILIZATION COSTS</t>
  </si>
  <si>
    <t>Negoitated/awarded Price</t>
  </si>
  <si>
    <t>1ST FLOOR</t>
  </si>
  <si>
    <t>If not all 3-prices shall raise .1-.2%</t>
  </si>
  <si>
    <t>DURING ESTIMATING PHASE</t>
  </si>
  <si>
    <t>NOT SURE OF NUMBER OF BEDROOMS</t>
  </si>
  <si>
    <t>This project includes a 4-story building with 376 units totaling approx 487,000 sqft.  There is also 2 parking garages and a clubhouse.  The clubhouse plans are currently being reworked so please disregard at this time.  It is located near Canonsburg, PA which is located 30 miles SW of Pittsburgh.</t>
  </si>
  <si>
    <t xml:space="preserve">BUILDING ONE </t>
  </si>
  <si>
    <t>13 buildings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</si>
</sst>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[$-409]mmmm\ d\,\ yyyy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??_);_(@_)"/>
  </numFmts>
  <fonts count="24">
    <font>
      <sz val="12.0"/>
      <color rgb="FF000000"/>
      <name val="Calibri"/>
    </font>
    <font/>
    <font>
      <sz val="11.0"/>
      <color rgb="FF1F497D"/>
    </font>
    <font>
      <sz val="11.0"/>
      <name val="Calibri"/>
    </font>
    <font>
      <sz val="14.0"/>
      <color rgb="FF000000"/>
      <name val="Calibri"/>
    </font>
    <font>
      <sz val="11.0"/>
      <color rgb="FF00B050"/>
      <name val="Calibri"/>
    </font>
    <font>
      <u/>
      <sz val="14.0"/>
      <color rgb="FF0000FF"/>
      <name val="Calibri"/>
    </font>
    <font>
      <sz val="13.0"/>
      <color rgb="FF222222"/>
      <name val="Arial"/>
    </font>
    <font>
      <sz val="11.0"/>
      <color rgb="FF000000"/>
      <name val="Calibri"/>
    </font>
    <font>
      <b/>
      <u/>
      <sz val="14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2.0"/>
      <color rgb="FFFF0000"/>
      <name val="Calibri"/>
    </font>
    <font>
      <sz val="11.0"/>
      <color rgb="FFFF0000"/>
      <name val="Calibri"/>
    </font>
    <font>
      <b/>
      <i/>
      <u/>
      <sz val="12.0"/>
      <color rgb="FF000000"/>
      <name val="Calibri"/>
    </font>
    <font>
      <b/>
      <i/>
      <u/>
      <sz val="12.0"/>
      <color rgb="FFFF0000"/>
      <name val="Calibri"/>
    </font>
    <font>
      <b/>
      <i/>
      <u/>
      <sz val="12.0"/>
      <name val="Calibri"/>
    </font>
    <font>
      <sz val="12.0"/>
      <name val="Calibri"/>
    </font>
    <font>
      <b/>
      <u/>
      <sz val="12.0"/>
      <name val="Calibri"/>
    </font>
    <font>
      <sz val="21.0"/>
      <color rgb="FF000000"/>
      <name val="Arial"/>
    </font>
    <font>
      <b/>
      <u/>
      <sz val="12.0"/>
      <color rgb="FFFF0000"/>
      <name val="Calibri"/>
    </font>
    <font>
      <b/>
      <u/>
      <sz val="12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B2A1C7"/>
        <bgColor rgb="FFB2A1C7"/>
      </patternFill>
    </fill>
    <fill>
      <patternFill patternType="solid">
        <fgColor rgb="FF92D050"/>
        <bgColor rgb="FF92D050"/>
      </patternFill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Alignment="1" applyFont="1">
      <alignment/>
    </xf>
    <xf borderId="0" fillId="0" fontId="0" numFmtId="0" xfId="0" applyFont="1"/>
    <xf borderId="0" fillId="2" fontId="2" numFmtId="0" xfId="0" applyAlignment="1" applyFill="1" applyFont="1">
      <alignment/>
    </xf>
    <xf borderId="0" fillId="3" fontId="3" numFmtId="0" xfId="0" applyBorder="1" applyFill="1" applyFont="1"/>
    <xf borderId="0" fillId="0" fontId="4" numFmtId="0" xfId="0" applyFont="1"/>
    <xf borderId="0" fillId="4" fontId="0" numFmtId="0" xfId="0" applyBorder="1" applyFill="1" applyFont="1"/>
    <xf borderId="0" fillId="0" fontId="1" numFmtId="2" xfId="0" applyFont="1" applyNumberFormat="1"/>
    <xf borderId="0" fillId="5" fontId="0" numFmtId="0" xfId="0" applyBorder="1" applyFill="1" applyFont="1"/>
    <xf borderId="0" fillId="6" fontId="3" numFmtId="0" xfId="0" applyBorder="1" applyFill="1" applyFont="1"/>
    <xf borderId="0" fillId="0" fontId="4" numFmtId="14" xfId="0" applyFont="1" applyNumberFormat="1"/>
    <xf borderId="0" fillId="0" fontId="5" numFmtId="0" xfId="0" applyFont="1"/>
    <xf borderId="0" fillId="0" fontId="4" numFmtId="0" xfId="0" applyAlignment="1" applyFont="1">
      <alignment/>
    </xf>
    <xf borderId="0" fillId="0" fontId="0" numFmtId="0" xfId="0" applyAlignment="1" applyFont="1">
      <alignment vertical="center"/>
    </xf>
    <xf borderId="0" fillId="0" fontId="6" numFmtId="0" xfId="0" applyAlignment="1" applyFont="1">
      <alignment/>
    </xf>
    <xf borderId="0" fillId="0" fontId="7" numFmtId="0" xfId="0" applyFont="1"/>
    <xf borderId="0" fillId="0" fontId="8" numFmtId="164" xfId="0" applyAlignment="1" applyFont="1" applyNumberFormat="1">
      <alignment vertical="center"/>
    </xf>
    <xf borderId="0" fillId="0" fontId="0" numFmtId="165" xfId="0" applyFont="1" applyNumberFormat="1"/>
    <xf borderId="0" fillId="0" fontId="0" numFmtId="164" xfId="0" applyFont="1" applyNumberFormat="1"/>
    <xf borderId="0" fillId="3" fontId="3" numFmtId="164" xfId="0" applyBorder="1" applyFont="1" applyNumberFormat="1"/>
    <xf borderId="0" fillId="5" fontId="0" numFmtId="166" xfId="0" applyAlignment="1" applyBorder="1" applyFont="1" applyNumberFormat="1">
      <alignment horizontal="center" vertical="center"/>
    </xf>
    <xf borderId="0" fillId="6" fontId="3" numFmtId="0" xfId="0" applyAlignment="1" applyBorder="1" applyFont="1">
      <alignment horizontal="center" vertical="center"/>
    </xf>
    <xf borderId="0" fillId="0" fontId="3" numFmtId="0" xfId="0" applyFont="1"/>
    <xf borderId="0" fillId="4" fontId="8" numFmtId="164" xfId="0" applyBorder="1" applyFont="1" applyNumberFormat="1"/>
    <xf borderId="0" fillId="0" fontId="9" numFmtId="164" xfId="0" applyFont="1" applyNumberFormat="1"/>
    <xf borderId="0" fillId="0" fontId="1" numFmtId="0" xfId="0" applyBorder="1" applyFont="1"/>
    <xf borderId="1" fillId="0" fontId="0" numFmtId="0" xfId="0" applyBorder="1" applyFont="1"/>
    <xf borderId="1" fillId="0" fontId="0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1" fillId="0" fontId="8" numFmtId="164" xfId="0" applyAlignment="1" applyBorder="1" applyFont="1" applyNumberFormat="1">
      <alignment vertical="center"/>
    </xf>
    <xf borderId="1" fillId="0" fontId="0" numFmtId="164" xfId="0" applyBorder="1" applyFont="1" applyNumberFormat="1"/>
    <xf borderId="3" fillId="0" fontId="1" numFmtId="0" xfId="0" applyBorder="1" applyFont="1"/>
    <xf borderId="1" fillId="3" fontId="3" numFmtId="0" xfId="0" applyBorder="1" applyFont="1"/>
    <xf borderId="1" fillId="4" fontId="8" numFmtId="164" xfId="0" applyBorder="1" applyFont="1" applyNumberFormat="1"/>
    <xf borderId="0" fillId="0" fontId="1" numFmtId="0" xfId="0" applyBorder="1" applyFont="1"/>
    <xf borderId="1" fillId="0" fontId="7" numFmtId="0" xfId="0" applyBorder="1" applyFont="1"/>
    <xf borderId="4" fillId="5" fontId="8" numFmtId="166" xfId="0" applyAlignment="1" applyBorder="1" applyFont="1" applyNumberFormat="1">
      <alignment horizontal="center" vertical="center"/>
    </xf>
    <xf borderId="4" fillId="6" fontId="3" numFmtId="0" xfId="0" applyAlignment="1" applyBorder="1" applyFont="1">
      <alignment horizontal="center" vertical="center"/>
    </xf>
    <xf borderId="1" fillId="3" fontId="3" numFmtId="164" xfId="0" applyBorder="1" applyFont="1" applyNumberFormat="1"/>
    <xf borderId="2" fillId="0" fontId="3" numFmtId="0" xfId="0" applyAlignment="1" applyBorder="1" applyFont="1">
      <alignment horizontal="center" vertical="center"/>
    </xf>
    <xf borderId="0" fillId="0" fontId="10" numFmtId="164" xfId="0" applyFont="1" applyNumberFormat="1"/>
    <xf borderId="1" fillId="0" fontId="11" numFmtId="164" xfId="0" applyBorder="1" applyFont="1" applyNumberFormat="1"/>
    <xf borderId="0" fillId="5" fontId="8" numFmtId="166" xfId="0" applyAlignment="1" applyBorder="1" applyFont="1" applyNumberFormat="1">
      <alignment horizontal="center" vertical="center"/>
    </xf>
    <xf borderId="0" fillId="6" fontId="12" numFmtId="0" xfId="0" applyAlignment="1" applyBorder="1" applyFont="1">
      <alignment horizontal="center"/>
    </xf>
    <xf borderId="0" fillId="3" fontId="3" numFmtId="0" xfId="0" applyAlignment="1" applyBorder="1" applyFont="1">
      <alignment horizontal="center"/>
    </xf>
    <xf borderId="0" fillId="0" fontId="1" numFmtId="0" xfId="0" applyBorder="1" applyFont="1"/>
    <xf borderId="0" fillId="7" fontId="0" numFmtId="164" xfId="0" applyAlignment="1" applyBorder="1" applyFill="1" applyFont="1" applyNumberFormat="1">
      <alignment horizontal="center"/>
    </xf>
    <xf borderId="0" fillId="5" fontId="0" numFmtId="0" xfId="0" applyAlignment="1" applyBorder="1" applyFont="1">
      <alignment horizontal="center"/>
    </xf>
    <xf borderId="0" fillId="8" fontId="0" numFmtId="0" xfId="0" applyBorder="1" applyFill="1" applyFont="1"/>
    <xf borderId="0" fillId="8" fontId="8" numFmtId="164" xfId="0" applyBorder="1" applyFont="1" applyNumberFormat="1"/>
    <xf borderId="0" fillId="8" fontId="3" numFmtId="0" xfId="0" applyBorder="1" applyFont="1"/>
    <xf borderId="0" fillId="0" fontId="3" numFmtId="164" xfId="0" applyFont="1" applyNumberFormat="1"/>
    <xf borderId="0" fillId="6" fontId="0" numFmtId="0" xfId="0" applyBorder="1" applyFont="1"/>
    <xf borderId="0" fillId="6" fontId="0" numFmtId="164" xfId="0" applyBorder="1" applyFont="1" applyNumberFormat="1"/>
    <xf borderId="0" fillId="7" fontId="0" numFmtId="0" xfId="0" applyBorder="1" applyFont="1"/>
    <xf borderId="0" fillId="6" fontId="13" numFmtId="164" xfId="0" applyBorder="1" applyFont="1" applyNumberFormat="1"/>
    <xf borderId="0" fillId="7" fontId="8" numFmtId="164" xfId="0" applyBorder="1" applyFont="1" applyNumberFormat="1"/>
    <xf borderId="0" fillId="5" fontId="8" numFmtId="164" xfId="0" applyBorder="1" applyFont="1" applyNumberFormat="1"/>
    <xf borderId="0" fillId="0" fontId="0" numFmtId="0" xfId="0" applyAlignment="1" applyFont="1">
      <alignment/>
    </xf>
    <xf borderId="0" fillId="5" fontId="0" numFmtId="164" xfId="0" applyBorder="1" applyFont="1" applyNumberFormat="1"/>
    <xf borderId="0" fillId="0" fontId="0" numFmtId="3" xfId="0" applyFont="1" applyNumberFormat="1"/>
    <xf borderId="0" fillId="0" fontId="14" numFmtId="0" xfId="0" applyFont="1"/>
    <xf borderId="0" fillId="0" fontId="15" numFmtId="0" xfId="0" applyFont="1"/>
    <xf borderId="0" fillId="0" fontId="0" numFmtId="0" xfId="0" applyAlignment="1" applyFont="1">
      <alignment horizontal="center"/>
    </xf>
    <xf borderId="0" fillId="0" fontId="8" numFmtId="164" xfId="0" applyFont="1" applyNumberFormat="1"/>
    <xf borderId="0" fillId="6" fontId="16" numFmtId="0" xfId="0" applyBorder="1" applyFont="1"/>
    <xf borderId="0" fillId="0" fontId="8" numFmtId="9" xfId="0" applyFont="1" applyNumberFormat="1"/>
    <xf borderId="0" fillId="6" fontId="17" numFmtId="0" xfId="0" applyBorder="1" applyFont="1"/>
    <xf borderId="0" fillId="0" fontId="0" numFmtId="167" xfId="0" applyFont="1" applyNumberFormat="1"/>
    <xf borderId="0" fillId="9" fontId="3" numFmtId="0" xfId="0" applyBorder="1" applyFill="1" applyFont="1"/>
    <xf borderId="0" fillId="6" fontId="18" numFmtId="3" xfId="0" applyBorder="1" applyFont="1" applyNumberFormat="1"/>
    <xf borderId="0" fillId="0" fontId="19" numFmtId="0" xfId="0" applyFont="1"/>
    <xf borderId="0" fillId="9" fontId="3" numFmtId="164" xfId="0" applyBorder="1" applyFont="1" applyNumberFormat="1"/>
    <xf borderId="0" fillId="0" fontId="14" numFmtId="0" xfId="0" applyAlignment="1" applyFont="1">
      <alignment horizontal="center"/>
    </xf>
    <xf borderId="0" fillId="0" fontId="19" numFmtId="164" xfId="0" applyFont="1" applyNumberFormat="1"/>
    <xf borderId="0" fillId="0" fontId="14" numFmtId="164" xfId="0" applyFont="1" applyNumberFormat="1"/>
    <xf borderId="0" fillId="0" fontId="0" numFmtId="168" xfId="0" applyFont="1" applyNumberFormat="1"/>
    <xf borderId="0" fillId="0" fontId="20" numFmtId="164" xfId="0" applyFont="1" applyNumberFormat="1"/>
    <xf borderId="0" fillId="0" fontId="21" numFmtId="0" xfId="0" applyFont="1"/>
    <xf borderId="0" fillId="2" fontId="0" numFmtId="0" xfId="0" applyBorder="1" applyFont="1"/>
    <xf borderId="0" fillId="0" fontId="19" numFmtId="3" xfId="0" applyFont="1" applyNumberFormat="1"/>
    <xf borderId="0" fillId="0" fontId="22" numFmtId="0" xfId="0" applyFont="1"/>
    <xf borderId="0" fillId="0" fontId="14" numFmtId="3" xfId="0" applyFont="1" applyNumberFormat="1"/>
    <xf borderId="0" fillId="0" fontId="15" numFmtId="164" xfId="0" applyFont="1" applyNumberFormat="1"/>
    <xf borderId="0" fillId="0" fontId="2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8.xml"/><Relationship Id="rId42" Type="http://schemas.openxmlformats.org/officeDocument/2006/relationships/worksheet" Target="worksheets/sheet40.xml"/><Relationship Id="rId41" Type="http://schemas.openxmlformats.org/officeDocument/2006/relationships/worksheet" Target="worksheets/sheet39.xml"/><Relationship Id="rId44" Type="http://schemas.openxmlformats.org/officeDocument/2006/relationships/worksheet" Target="worksheets/sheet42.xml"/><Relationship Id="rId43" Type="http://schemas.openxmlformats.org/officeDocument/2006/relationships/worksheet" Target="worksheets/sheet41.xml"/><Relationship Id="rId46" Type="http://schemas.openxmlformats.org/officeDocument/2006/relationships/worksheet" Target="worksheets/sheet44.xml"/><Relationship Id="rId45" Type="http://schemas.openxmlformats.org/officeDocument/2006/relationships/worksheet" Target="worksheets/sheet43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48" Type="http://schemas.openxmlformats.org/officeDocument/2006/relationships/worksheet" Target="worksheets/sheet46.xml"/><Relationship Id="rId47" Type="http://schemas.openxmlformats.org/officeDocument/2006/relationships/worksheet" Target="worksheets/sheet45.xml"/><Relationship Id="rId49" Type="http://schemas.openxmlformats.org/officeDocument/2006/relationships/worksheet" Target="worksheets/sheet4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33" Type="http://schemas.openxmlformats.org/officeDocument/2006/relationships/worksheet" Target="worksheets/sheet31.xml"/><Relationship Id="rId32" Type="http://schemas.openxmlformats.org/officeDocument/2006/relationships/worksheet" Target="worksheets/sheet30.xml"/><Relationship Id="rId35" Type="http://schemas.openxmlformats.org/officeDocument/2006/relationships/worksheet" Target="worksheets/sheet33.xml"/><Relationship Id="rId34" Type="http://schemas.openxmlformats.org/officeDocument/2006/relationships/worksheet" Target="worksheets/sheet32.xml"/><Relationship Id="rId37" Type="http://schemas.openxmlformats.org/officeDocument/2006/relationships/worksheet" Target="worksheets/sheet35.xml"/><Relationship Id="rId36" Type="http://schemas.openxmlformats.org/officeDocument/2006/relationships/worksheet" Target="worksheets/sheet34.xml"/><Relationship Id="rId39" Type="http://schemas.openxmlformats.org/officeDocument/2006/relationships/worksheet" Target="worksheets/sheet37.xml"/><Relationship Id="rId38" Type="http://schemas.openxmlformats.org/officeDocument/2006/relationships/worksheet" Target="worksheets/sheet36.xml"/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29" Type="http://schemas.openxmlformats.org/officeDocument/2006/relationships/worksheet" Target="worksheets/sheet27.xml"/><Relationship Id="rId51" Type="http://schemas.openxmlformats.org/officeDocument/2006/relationships/worksheet" Target="worksheets/sheet49.xml"/><Relationship Id="rId50" Type="http://schemas.openxmlformats.org/officeDocument/2006/relationships/worksheet" Target="worksheets/sheet48.xml"/><Relationship Id="rId52" Type="http://schemas.openxmlformats.org/officeDocument/2006/relationships/worksheet" Target="worksheets/sheet50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8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9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0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11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12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3.v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14.v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drawing" Target="../drawings/drawing17.xml"/><Relationship Id="rId3" Type="http://schemas.openxmlformats.org/officeDocument/2006/relationships/vmlDrawing" Target="../drawings/vmlDrawing15.v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16.v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drawing" Target="../drawings/drawing19.xml"/><Relationship Id="rId3" Type="http://schemas.openxmlformats.org/officeDocument/2006/relationships/vmlDrawing" Target="../drawings/vmlDrawing17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drawing" Target="../drawings/drawing20.xml"/><Relationship Id="rId3" Type="http://schemas.openxmlformats.org/officeDocument/2006/relationships/vmlDrawing" Target="../drawings/vmlDrawing18.v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21.xml"/><Relationship Id="rId3" Type="http://schemas.openxmlformats.org/officeDocument/2006/relationships/vmlDrawing" Target="../drawings/vmlDrawing19.v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drawing" Target="../drawings/drawing22.xml"/><Relationship Id="rId3" Type="http://schemas.openxmlformats.org/officeDocument/2006/relationships/vmlDrawing" Target="../drawings/vmlDrawing20.v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drawing" Target="../drawings/drawing23.xml"/><Relationship Id="rId3" Type="http://schemas.openxmlformats.org/officeDocument/2006/relationships/vmlDrawing" Target="../drawings/vmlDrawing21.v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comments" Target="../comments22.xml"/><Relationship Id="rId2" Type="http://schemas.openxmlformats.org/officeDocument/2006/relationships/drawing" Target="../drawings/drawing24.xml"/><Relationship Id="rId3" Type="http://schemas.openxmlformats.org/officeDocument/2006/relationships/vmlDrawing" Target="../drawings/vmlDrawing22.v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comments" Target="../comments23.xml"/><Relationship Id="rId2" Type="http://schemas.openxmlformats.org/officeDocument/2006/relationships/drawing" Target="../drawings/drawing25.xml"/><Relationship Id="rId3" Type="http://schemas.openxmlformats.org/officeDocument/2006/relationships/vmlDrawing" Target="../drawings/vmlDrawing23.v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drawing" Target="../drawings/drawing26.xml"/><Relationship Id="rId3" Type="http://schemas.openxmlformats.org/officeDocument/2006/relationships/vmlDrawing" Target="../drawings/vmlDrawing24.v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comments" Target="../comments25.xml"/><Relationship Id="rId2" Type="http://schemas.openxmlformats.org/officeDocument/2006/relationships/drawing" Target="../drawings/drawing27.xml"/><Relationship Id="rId3" Type="http://schemas.openxmlformats.org/officeDocument/2006/relationships/vmlDrawing" Target="../drawings/vmlDrawing25.v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comments" Target="../comments26.xml"/><Relationship Id="rId2" Type="http://schemas.openxmlformats.org/officeDocument/2006/relationships/drawing" Target="../drawings/drawing28.xml"/><Relationship Id="rId3" Type="http://schemas.openxmlformats.org/officeDocument/2006/relationships/vmlDrawing" Target="../drawings/vmlDrawing26.v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comments" Target="../comments27.xml"/><Relationship Id="rId2" Type="http://schemas.openxmlformats.org/officeDocument/2006/relationships/drawing" Target="../drawings/drawing29.xml"/><Relationship Id="rId3" Type="http://schemas.openxmlformats.org/officeDocument/2006/relationships/vmlDrawing" Target="../drawings/vmlDrawing27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comments" Target="../comments28.xml"/><Relationship Id="rId2" Type="http://schemas.openxmlformats.org/officeDocument/2006/relationships/drawing" Target="../drawings/drawing30.xml"/><Relationship Id="rId3" Type="http://schemas.openxmlformats.org/officeDocument/2006/relationships/vmlDrawing" Target="../drawings/vmlDrawing28.v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comments" Target="../comments29.xml"/><Relationship Id="rId2" Type="http://schemas.openxmlformats.org/officeDocument/2006/relationships/drawing" Target="../drawings/drawing31.xml"/><Relationship Id="rId3" Type="http://schemas.openxmlformats.org/officeDocument/2006/relationships/vmlDrawing" Target="../drawings/vmlDrawing29.v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comments" Target="../comments30.xml"/><Relationship Id="rId2" Type="http://schemas.openxmlformats.org/officeDocument/2006/relationships/drawing" Target="../drawings/drawing32.xml"/><Relationship Id="rId3" Type="http://schemas.openxmlformats.org/officeDocument/2006/relationships/vmlDrawing" Target="../drawings/vmlDrawing30.v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comments" Target="../comments31.xml"/><Relationship Id="rId2" Type="http://schemas.openxmlformats.org/officeDocument/2006/relationships/drawing" Target="../drawings/drawing33.xml"/><Relationship Id="rId3" Type="http://schemas.openxmlformats.org/officeDocument/2006/relationships/vmlDrawing" Target="../drawings/vmlDrawing31.v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comments" Target="../comments32.xml"/><Relationship Id="rId2" Type="http://schemas.openxmlformats.org/officeDocument/2006/relationships/drawing" Target="../drawings/drawing34.xml"/><Relationship Id="rId3" Type="http://schemas.openxmlformats.org/officeDocument/2006/relationships/vmlDrawing" Target="../drawings/vmlDrawing32.v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comments" Target="../comments33.xml"/><Relationship Id="rId2" Type="http://schemas.openxmlformats.org/officeDocument/2006/relationships/drawing" Target="../drawings/drawing35.xml"/><Relationship Id="rId3" Type="http://schemas.openxmlformats.org/officeDocument/2006/relationships/vmlDrawing" Target="../drawings/vmlDrawing33.v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comments" Target="../comments34.xml"/><Relationship Id="rId2" Type="http://schemas.openxmlformats.org/officeDocument/2006/relationships/drawing" Target="../drawings/drawing36.xml"/><Relationship Id="rId3" Type="http://schemas.openxmlformats.org/officeDocument/2006/relationships/vmlDrawing" Target="../drawings/vmlDrawing34.v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comments" Target="../comments35.xml"/><Relationship Id="rId2" Type="http://schemas.openxmlformats.org/officeDocument/2006/relationships/drawing" Target="../drawings/drawing37.xml"/><Relationship Id="rId3" Type="http://schemas.openxmlformats.org/officeDocument/2006/relationships/vmlDrawing" Target="../drawings/vmlDrawing35.v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comments" Target="../comments36.xml"/><Relationship Id="rId2" Type="http://schemas.openxmlformats.org/officeDocument/2006/relationships/drawing" Target="../drawings/drawing38.xml"/><Relationship Id="rId3" Type="http://schemas.openxmlformats.org/officeDocument/2006/relationships/vmlDrawing" Target="../drawings/vmlDrawing36.v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comments" Target="../comments37.xml"/><Relationship Id="rId2" Type="http://schemas.openxmlformats.org/officeDocument/2006/relationships/drawing" Target="../drawings/drawing39.xml"/><Relationship Id="rId3" Type="http://schemas.openxmlformats.org/officeDocument/2006/relationships/vmlDrawing" Target="../drawings/vmlDrawing37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comments" Target="../comments38.xml"/><Relationship Id="rId2" Type="http://schemas.openxmlformats.org/officeDocument/2006/relationships/drawing" Target="../drawings/drawing40.xml"/><Relationship Id="rId3" Type="http://schemas.openxmlformats.org/officeDocument/2006/relationships/vmlDrawing" Target="../drawings/vmlDrawing38.v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comments" Target="../comments39.xml"/><Relationship Id="rId2" Type="http://schemas.openxmlformats.org/officeDocument/2006/relationships/drawing" Target="../drawings/drawing41.xml"/><Relationship Id="rId3" Type="http://schemas.openxmlformats.org/officeDocument/2006/relationships/vmlDrawing" Target="../drawings/vmlDrawing39.v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comments" Target="../comments40.xml"/><Relationship Id="rId2" Type="http://schemas.openxmlformats.org/officeDocument/2006/relationships/drawing" Target="../drawings/drawing42.xml"/><Relationship Id="rId3" Type="http://schemas.openxmlformats.org/officeDocument/2006/relationships/vmlDrawing" Target="../drawings/vmlDrawing40.v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comments" Target="../comments41.xml"/><Relationship Id="rId2" Type="http://schemas.openxmlformats.org/officeDocument/2006/relationships/drawing" Target="../drawings/drawing43.xml"/><Relationship Id="rId3" Type="http://schemas.openxmlformats.org/officeDocument/2006/relationships/vmlDrawing" Target="../drawings/vmlDrawing41.v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comments" Target="../comments42.xml"/><Relationship Id="rId2" Type="http://schemas.openxmlformats.org/officeDocument/2006/relationships/drawing" Target="../drawings/drawing44.xml"/><Relationship Id="rId3" Type="http://schemas.openxmlformats.org/officeDocument/2006/relationships/vmlDrawing" Target="../drawings/vmlDrawing42.v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comments" Target="../comments43.xml"/><Relationship Id="rId2" Type="http://schemas.openxmlformats.org/officeDocument/2006/relationships/drawing" Target="../drawings/drawing45.xml"/><Relationship Id="rId3" Type="http://schemas.openxmlformats.org/officeDocument/2006/relationships/vmlDrawing" Target="../drawings/vmlDrawing43.v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comments" Target="../comments44.xml"/><Relationship Id="rId2" Type="http://schemas.openxmlformats.org/officeDocument/2006/relationships/drawing" Target="../drawings/drawing46.xml"/><Relationship Id="rId3" Type="http://schemas.openxmlformats.org/officeDocument/2006/relationships/vmlDrawing" Target="../drawings/vmlDrawing44.v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comments" Target="../comments45.xml"/><Relationship Id="rId2" Type="http://schemas.openxmlformats.org/officeDocument/2006/relationships/drawing" Target="../drawings/drawing47.xml"/><Relationship Id="rId3" Type="http://schemas.openxmlformats.org/officeDocument/2006/relationships/vmlDrawing" Target="../drawings/vmlDrawing45.v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comments" Target="../comments46.xml"/><Relationship Id="rId2" Type="http://schemas.openxmlformats.org/officeDocument/2006/relationships/drawing" Target="../drawings/drawing48.xml"/><Relationship Id="rId3" Type="http://schemas.openxmlformats.org/officeDocument/2006/relationships/vmlDrawing" Target="../drawings/vmlDrawing46.v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comments" Target="../comments47.xml"/><Relationship Id="rId2" Type="http://schemas.openxmlformats.org/officeDocument/2006/relationships/drawing" Target="../drawings/drawing49.xml"/><Relationship Id="rId3" Type="http://schemas.openxmlformats.org/officeDocument/2006/relationships/vmlDrawing" Target="../drawings/vmlDrawing47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3.v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comments" Target="../comments48.xml"/><Relationship Id="rId2" Type="http://schemas.openxmlformats.org/officeDocument/2006/relationships/drawing" Target="../drawings/drawing50.xml"/><Relationship Id="rId3" Type="http://schemas.openxmlformats.org/officeDocument/2006/relationships/vmlDrawing" Target="../drawings/vmlDrawing48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4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5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6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2D050"/>
  </sheetPr>
  <sheetViews>
    <sheetView workbookViewId="0"/>
  </sheetViews>
  <sheetFormatPr customHeight="1" defaultColWidth="13.44" defaultRowHeight="15.75"/>
  <cols>
    <col customWidth="1" min="1" max="1" width="25.22"/>
    <col customWidth="1" min="2" max="2" width="10.56"/>
    <col customWidth="1" min="3" max="3" width="11.44"/>
    <col customWidth="1" min="4" max="4" width="18.11"/>
    <col customWidth="1" min="5" max="5" width="11.44"/>
    <col customWidth="1" min="6" max="6" width="11.33"/>
    <col customWidth="1" min="7" max="7" width="12.11"/>
    <col customWidth="1" min="8" max="18" width="10.56"/>
  </cols>
  <sheetData>
    <row r="1" ht="18.0" customHeight="1">
      <c r="A1" s="6" t="s">
        <v>1</v>
      </c>
      <c r="B1" s="6"/>
      <c r="C1" s="6"/>
      <c r="D1" s="6" t="s">
        <v>28</v>
      </c>
      <c r="E1" s="6"/>
      <c r="F1" s="11">
        <f>+TODAY()</f>
        <v>42876</v>
      </c>
      <c r="H1" s="13" t="s">
        <v>31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ht="18.0" customHeight="1">
      <c r="A2" s="6" t="s">
        <v>37</v>
      </c>
      <c r="B2" s="6"/>
      <c r="C2" s="6"/>
      <c r="D2" s="6" t="s">
        <v>38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8.0" customHeight="1">
      <c r="A3" s="6"/>
      <c r="B3" s="6"/>
      <c r="C3" s="6"/>
      <c r="D3" s="15" t="s">
        <v>39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15.0" customHeight="1">
      <c r="A4" s="1"/>
      <c r="C4" s="1"/>
      <c r="D4" s="1"/>
      <c r="E4" s="1"/>
      <c r="F4" s="1"/>
      <c r="G4" s="1"/>
    </row>
    <row r="5" ht="15.75" customHeight="1">
      <c r="A5" s="1" t="s">
        <v>40</v>
      </c>
      <c r="B5" s="1" t="s">
        <v>41</v>
      </c>
      <c r="C5" s="1" t="s">
        <v>42</v>
      </c>
      <c r="D5" s="1"/>
      <c r="E5" s="1" t="s">
        <v>3</v>
      </c>
      <c r="F5" s="1" t="s">
        <v>43</v>
      </c>
      <c r="G5" s="1"/>
      <c r="I5" s="16" t="s">
        <v>44</v>
      </c>
      <c r="J5" s="16"/>
      <c r="K5" s="16"/>
      <c r="L5" s="16"/>
      <c r="M5" s="16"/>
      <c r="N5" s="16"/>
      <c r="O5" s="16"/>
      <c r="P5" s="16"/>
      <c r="Q5" s="16"/>
      <c r="R5" s="16"/>
    </row>
    <row r="6" ht="15.0" customHeight="1">
      <c r="A6" s="18">
        <v>41641.0</v>
      </c>
      <c r="B6" s="1">
        <v>7.0</v>
      </c>
      <c r="C6" s="1">
        <v>8.0</v>
      </c>
      <c r="D6" s="1"/>
      <c r="E6" s="1">
        <f t="shared" ref="E6:E14" si="1">B6*C6</f>
        <v>56</v>
      </c>
      <c r="F6" s="19">
        <f t="shared" ref="F6:F14" si="2">E6*14</f>
        <v>784</v>
      </c>
      <c r="G6" s="1"/>
    </row>
    <row r="7" ht="15.75" customHeight="1">
      <c r="A7" s="18">
        <v>41642.0</v>
      </c>
      <c r="B7" s="1">
        <v>6.0</v>
      </c>
      <c r="C7" s="1">
        <v>9.0</v>
      </c>
      <c r="D7" s="1"/>
      <c r="E7" s="1">
        <f t="shared" si="1"/>
        <v>54</v>
      </c>
      <c r="F7" s="19">
        <f t="shared" si="2"/>
        <v>756</v>
      </c>
      <c r="G7" s="1"/>
      <c r="I7" s="16" t="s">
        <v>45</v>
      </c>
      <c r="J7" s="16"/>
      <c r="K7" s="16"/>
      <c r="L7" s="16"/>
      <c r="M7" s="16"/>
      <c r="N7" s="16"/>
      <c r="O7" s="16"/>
      <c r="P7" s="16"/>
      <c r="Q7" s="16"/>
      <c r="R7" s="16"/>
    </row>
    <row r="8" ht="15.0" customHeight="1">
      <c r="A8" s="18">
        <v>41643.0</v>
      </c>
      <c r="B8" s="1">
        <v>5.0</v>
      </c>
      <c r="C8" s="1">
        <v>8.0</v>
      </c>
      <c r="D8" s="1"/>
      <c r="E8" s="1">
        <f t="shared" si="1"/>
        <v>40</v>
      </c>
      <c r="F8" s="19">
        <f t="shared" si="2"/>
        <v>560</v>
      </c>
      <c r="G8" s="1"/>
    </row>
    <row r="9" ht="15.75" customHeight="1">
      <c r="A9" s="18">
        <v>41644.0</v>
      </c>
      <c r="B9" s="1">
        <v>8.0</v>
      </c>
      <c r="C9" s="1">
        <v>8.0</v>
      </c>
      <c r="D9" s="1" t="s">
        <v>46</v>
      </c>
      <c r="E9" s="1">
        <f t="shared" si="1"/>
        <v>64</v>
      </c>
      <c r="F9" s="19">
        <f t="shared" si="2"/>
        <v>896</v>
      </c>
      <c r="G9" s="1"/>
      <c r="I9" s="16" t="s">
        <v>47</v>
      </c>
      <c r="J9" s="16"/>
      <c r="K9" s="16"/>
      <c r="L9" s="16"/>
      <c r="M9" s="16"/>
      <c r="N9" s="16"/>
      <c r="O9" s="16"/>
      <c r="P9" s="16"/>
      <c r="Q9" s="16"/>
      <c r="R9" s="16"/>
    </row>
    <row r="10" ht="15.0" customHeight="1">
      <c r="A10" s="18">
        <v>41645.0</v>
      </c>
      <c r="B10" s="1">
        <v>8.0</v>
      </c>
      <c r="C10" s="1">
        <v>8.0</v>
      </c>
      <c r="D10" s="1"/>
      <c r="E10" s="1">
        <f t="shared" si="1"/>
        <v>64</v>
      </c>
      <c r="F10" s="19">
        <f t="shared" si="2"/>
        <v>896</v>
      </c>
      <c r="G10" s="1"/>
    </row>
    <row r="11" ht="15.75" customHeight="1">
      <c r="A11" s="18">
        <v>41646.0</v>
      </c>
      <c r="B11" s="1">
        <v>9.0</v>
      </c>
      <c r="C11" s="1">
        <v>4.0</v>
      </c>
      <c r="D11" s="1"/>
      <c r="E11" s="1">
        <f t="shared" si="1"/>
        <v>36</v>
      </c>
      <c r="F11" s="19">
        <f t="shared" si="2"/>
        <v>504</v>
      </c>
      <c r="G11" s="1"/>
      <c r="I11" s="16" t="s">
        <v>48</v>
      </c>
      <c r="J11" s="16"/>
      <c r="K11" s="16"/>
      <c r="L11" s="16"/>
      <c r="M11" s="16"/>
      <c r="N11" s="16"/>
      <c r="O11" s="16"/>
      <c r="P11" s="16"/>
      <c r="Q11" s="16"/>
      <c r="R11" s="16"/>
    </row>
    <row r="12" ht="15.0" customHeight="1">
      <c r="A12" s="18">
        <v>41653.0</v>
      </c>
      <c r="B12" s="1">
        <v>7.0</v>
      </c>
      <c r="C12" s="1">
        <v>4.0</v>
      </c>
      <c r="D12" s="1"/>
      <c r="E12" s="1">
        <f t="shared" si="1"/>
        <v>28</v>
      </c>
      <c r="F12" s="19">
        <f t="shared" si="2"/>
        <v>392</v>
      </c>
      <c r="G12" s="1"/>
    </row>
    <row r="13" ht="15.75" customHeight="1">
      <c r="A13" s="18">
        <v>41654.0</v>
      </c>
      <c r="B13" s="1">
        <v>5.0</v>
      </c>
      <c r="C13" s="1">
        <v>8.0</v>
      </c>
      <c r="D13" s="1"/>
      <c r="E13" s="1">
        <f t="shared" si="1"/>
        <v>40</v>
      </c>
      <c r="F13" s="19">
        <f t="shared" si="2"/>
        <v>560</v>
      </c>
      <c r="G13" s="1"/>
      <c r="I13" s="16" t="s">
        <v>50</v>
      </c>
      <c r="J13" s="16"/>
      <c r="K13" s="16"/>
      <c r="L13" s="16"/>
      <c r="M13" s="16"/>
      <c r="N13" s="16"/>
      <c r="O13" s="16"/>
      <c r="P13" s="16"/>
      <c r="Q13" s="16"/>
      <c r="R13" s="16"/>
    </row>
    <row r="14" ht="15.0" customHeight="1">
      <c r="A14" s="18">
        <v>41655.0</v>
      </c>
      <c r="B14" s="1">
        <v>5.0</v>
      </c>
      <c r="C14" s="1">
        <v>8.0</v>
      </c>
      <c r="D14" s="1"/>
      <c r="E14" s="1">
        <f t="shared" si="1"/>
        <v>40</v>
      </c>
      <c r="F14" s="19">
        <f t="shared" si="2"/>
        <v>560</v>
      </c>
      <c r="G14" s="1"/>
    </row>
    <row r="15" ht="18.0" customHeight="1">
      <c r="A15" s="18">
        <v>41656.0</v>
      </c>
      <c r="B15" s="1">
        <v>4.0</v>
      </c>
      <c r="C15" s="1">
        <v>3.0</v>
      </c>
      <c r="D15" s="1" t="s">
        <v>51</v>
      </c>
      <c r="E15" s="1"/>
      <c r="F15" s="1" t="s">
        <v>52</v>
      </c>
      <c r="G15" s="25">
        <f>SUM(F6:F14)</f>
        <v>5908</v>
      </c>
      <c r="I15" s="16" t="s">
        <v>53</v>
      </c>
      <c r="J15" s="16"/>
      <c r="K15" s="16"/>
      <c r="L15" s="16"/>
      <c r="M15" s="16"/>
      <c r="N15" s="16"/>
      <c r="O15" s="16"/>
      <c r="P15" s="16"/>
      <c r="Q15" s="16"/>
      <c r="R15" s="16"/>
    </row>
    <row r="16" ht="15.0" customHeight="1">
      <c r="A16" s="1"/>
      <c r="C16" s="1"/>
      <c r="D16" s="1"/>
      <c r="E16" s="1"/>
      <c r="F16" s="1" t="s">
        <v>54</v>
      </c>
      <c r="G16" s="19">
        <f>G15*0.3</f>
        <v>1772.4</v>
      </c>
    </row>
    <row r="17" ht="15.75" customHeight="1">
      <c r="A17" s="1"/>
      <c r="C17" s="1"/>
      <c r="D17" s="1"/>
      <c r="E17" s="1" t="s">
        <v>55</v>
      </c>
      <c r="F17" s="1"/>
      <c r="G17" s="19">
        <f>G15+G16</f>
        <v>7680.4</v>
      </c>
      <c r="I17" s="16" t="s">
        <v>56</v>
      </c>
      <c r="J17" s="16"/>
      <c r="K17" s="16"/>
      <c r="L17" s="16"/>
      <c r="M17" s="16"/>
      <c r="N17" s="16"/>
      <c r="O17" s="16"/>
      <c r="P17" s="16"/>
      <c r="Q17" s="16"/>
      <c r="R17" s="16"/>
    </row>
    <row r="18" ht="15.0" customHeight="1">
      <c r="A18" s="1"/>
      <c r="C18" s="1"/>
      <c r="D18" s="1"/>
      <c r="E18" s="1"/>
      <c r="F18" s="1"/>
      <c r="G18" s="1"/>
    </row>
    <row r="19" ht="15.75" customHeight="1">
      <c r="A19" s="1" t="s">
        <v>57</v>
      </c>
      <c r="B19" s="1" t="s">
        <v>58</v>
      </c>
      <c r="C19" s="1" t="s">
        <v>59</v>
      </c>
      <c r="D19" s="1" t="s">
        <v>60</v>
      </c>
      <c r="E19" s="1"/>
      <c r="F19" s="1"/>
      <c r="G19" s="1"/>
      <c r="I19" s="16" t="s">
        <v>61</v>
      </c>
      <c r="J19" s="16"/>
      <c r="K19" s="16"/>
      <c r="L19" s="16"/>
      <c r="M19" s="16"/>
      <c r="N19" s="16"/>
      <c r="O19" s="16"/>
      <c r="P19" s="16"/>
      <c r="Q19" s="16"/>
      <c r="R19" s="16"/>
    </row>
    <row r="20" ht="15.0" customHeight="1">
      <c r="A20" s="1">
        <v>10.0</v>
      </c>
      <c r="B20" s="1">
        <f>(4*8*5)*A20</f>
        <v>1600</v>
      </c>
      <c r="C20" s="19">
        <v>25.0</v>
      </c>
      <c r="D20" s="19">
        <f>C20*B20</f>
        <v>40000</v>
      </c>
      <c r="E20" s="1"/>
      <c r="F20" s="1"/>
      <c r="G20" s="1"/>
    </row>
    <row r="21" ht="15.75" customHeight="1">
      <c r="A21" s="1"/>
      <c r="C21" s="1"/>
      <c r="D21" s="1"/>
      <c r="E21" s="1"/>
      <c r="F21" s="1"/>
      <c r="G21" s="1"/>
      <c r="I21" s="16" t="s">
        <v>62</v>
      </c>
      <c r="J21" s="16"/>
      <c r="K21" s="16"/>
      <c r="L21" s="16"/>
      <c r="M21" s="16"/>
      <c r="N21" s="16"/>
      <c r="O21" s="16"/>
      <c r="P21" s="16"/>
      <c r="Q21" s="16"/>
      <c r="R21" s="16"/>
    </row>
    <row r="22" ht="15.0" customHeight="1">
      <c r="A22" s="1"/>
      <c r="C22" s="1"/>
      <c r="D22" s="1"/>
      <c r="E22" s="1"/>
      <c r="F22" s="1"/>
      <c r="G22" s="1"/>
    </row>
    <row r="23" ht="15.75" customHeight="1">
      <c r="A23" s="1"/>
      <c r="C23" s="1"/>
      <c r="D23" s="1"/>
      <c r="E23" s="1"/>
      <c r="F23" s="1"/>
      <c r="G23" s="1"/>
      <c r="I23" s="16" t="s">
        <v>63</v>
      </c>
      <c r="J23" s="16"/>
      <c r="K23" s="16"/>
      <c r="L23" s="16"/>
      <c r="M23" s="16"/>
      <c r="N23" s="16"/>
      <c r="O23" s="16"/>
      <c r="P23" s="16"/>
      <c r="Q23" s="16"/>
      <c r="R23" s="16"/>
    </row>
    <row r="24" ht="15.0" customHeight="1">
      <c r="A24" s="1" t="s">
        <v>64</v>
      </c>
      <c r="B24" s="1" t="s">
        <v>41</v>
      </c>
      <c r="C24" s="1" t="s">
        <v>58</v>
      </c>
      <c r="D24" s="1" t="s">
        <v>65</v>
      </c>
      <c r="E24" s="1"/>
      <c r="F24" s="1"/>
      <c r="G24" s="1"/>
    </row>
    <row r="25" ht="15.75" customHeight="1">
      <c r="A25" s="1">
        <v>10.0</v>
      </c>
      <c r="B25" s="1">
        <v>7.0</v>
      </c>
      <c r="C25" s="3">
        <f>D25/25</f>
        <v>560</v>
      </c>
      <c r="D25" s="19">
        <f>(8*25)*(A25*B25)</f>
        <v>14000</v>
      </c>
      <c r="E25" s="1"/>
      <c r="F25" s="1"/>
      <c r="G25" s="1"/>
      <c r="I25" s="16" t="s">
        <v>66</v>
      </c>
      <c r="J25" s="16"/>
      <c r="K25" s="16"/>
      <c r="L25" s="16"/>
      <c r="M25" s="16"/>
      <c r="N25" s="16"/>
      <c r="O25" s="16"/>
      <c r="P25" s="16"/>
      <c r="Q25" s="16"/>
      <c r="R25" s="16"/>
    </row>
    <row r="26" ht="15.0" customHeight="1">
      <c r="A26" s="1"/>
      <c r="C26" s="1"/>
      <c r="D26" s="1"/>
      <c r="E26" s="1"/>
      <c r="F26" s="1"/>
      <c r="G26" s="1"/>
    </row>
    <row r="27" ht="15.75" customHeight="1">
      <c r="A27" s="1"/>
      <c r="C27" s="1"/>
      <c r="D27" s="1"/>
      <c r="E27" s="1"/>
      <c r="F27" s="1"/>
      <c r="G27" s="1"/>
      <c r="I27" s="16" t="s">
        <v>67</v>
      </c>
      <c r="J27" s="16"/>
      <c r="K27" s="16"/>
      <c r="L27" s="16"/>
      <c r="M27" s="16"/>
      <c r="N27" s="16"/>
      <c r="O27" s="16"/>
      <c r="P27" s="16"/>
      <c r="Q27" s="16"/>
      <c r="R27" s="16"/>
    </row>
    <row r="28" ht="15.0" customHeight="1">
      <c r="A28" s="1"/>
      <c r="C28" s="1"/>
      <c r="D28" s="1"/>
      <c r="E28" s="1"/>
      <c r="F28" s="1"/>
      <c r="G28" s="1"/>
    </row>
    <row r="29" ht="15.75" customHeight="1">
      <c r="A29" s="1"/>
      <c r="C29" s="1"/>
      <c r="D29" s="1"/>
      <c r="E29" s="1"/>
      <c r="F29" s="1"/>
      <c r="G29" s="1"/>
      <c r="I29" s="16" t="s">
        <v>68</v>
      </c>
      <c r="J29" s="16"/>
      <c r="K29" s="16"/>
      <c r="L29" s="16"/>
      <c r="M29" s="16"/>
      <c r="N29" s="16"/>
      <c r="O29" s="16"/>
      <c r="P29" s="16"/>
      <c r="Q29" s="16"/>
      <c r="R29" s="16"/>
    </row>
    <row r="30" ht="15.75" customHeight="1">
      <c r="A30" s="1"/>
      <c r="C30" s="1"/>
      <c r="D30" s="1"/>
      <c r="E30" s="1"/>
      <c r="F30" s="1"/>
      <c r="G30" s="1"/>
      <c r="I30" s="16" t="s">
        <v>69</v>
      </c>
      <c r="J30" s="16"/>
      <c r="K30" s="16"/>
      <c r="L30" s="16"/>
      <c r="M30" s="16"/>
      <c r="N30" s="16"/>
      <c r="O30" s="16"/>
      <c r="P30" s="16"/>
      <c r="Q30" s="16"/>
      <c r="R30" s="16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2.67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f>61+47</f>
        <v>108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12.0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10224</v>
      </c>
      <c r="O10" s="41">
        <f>K3*M3+K6*M6+K9*M9+M12*K12</f>
        <v>11664</v>
      </c>
      <c r="P10" s="41">
        <f>M3*L3+M6*L6+M9*L9+M12*L12</f>
        <v>6060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80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65"/>
      <c r="O16" s="1"/>
      <c r="P16" s="54">
        <f>SUM(N10:P10)+M16</f>
        <v>27948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 t="s">
        <v>115</v>
      </c>
      <c r="B17" s="1">
        <v>1.0</v>
      </c>
      <c r="C17" s="1">
        <v>2.0</v>
      </c>
      <c r="D17" s="1">
        <v>3.0</v>
      </c>
      <c r="E17" s="1" t="s">
        <v>116</v>
      </c>
      <c r="F17" s="1" t="s">
        <v>117</v>
      </c>
      <c r="G17" s="1"/>
      <c r="H17" s="1"/>
      <c r="I17" s="1"/>
      <c r="J17" s="1"/>
      <c r="K17" s="1"/>
      <c r="L17" s="1"/>
      <c r="M17" s="23"/>
      <c r="N17" s="3"/>
      <c r="O17" s="1"/>
      <c r="P17" s="41"/>
      <c r="Q17" s="5">
        <f>M3*F3+M6*F6+M9*F9</f>
        <v>388.8</v>
      </c>
      <c r="R17" s="20">
        <f>M3*H3+M6*H6+M9*H9+(N16/2)</f>
        <v>3888</v>
      </c>
      <c r="S17" s="55">
        <f>M3*F4+F7*M6+F10*M9</f>
        <v>340.8</v>
      </c>
      <c r="T17" s="57">
        <f>M3*H4+H7*M6+H11*M9+(N16/2)</f>
        <v>3408</v>
      </c>
      <c r="U17" s="9">
        <f>M3*F5+F8*M6+F11*M9</f>
        <v>194.4</v>
      </c>
      <c r="V17" s="58">
        <f>H5*L3+H8*L6+H11*L9</f>
        <v>2990</v>
      </c>
    </row>
    <row r="18" ht="15.0" customHeight="1">
      <c r="A18" s="1">
        <v>4.0</v>
      </c>
      <c r="B18" s="1">
        <v>0.0</v>
      </c>
      <c r="C18" s="1">
        <v>18.0</v>
      </c>
      <c r="D18" s="1">
        <v>0.0</v>
      </c>
      <c r="E18" s="1">
        <f t="shared" ref="E18:E29" si="4">SUM(B18:D18)</f>
        <v>18</v>
      </c>
      <c r="F18" s="1">
        <v>28170.0</v>
      </c>
      <c r="G18" s="1"/>
      <c r="H18" s="1"/>
      <c r="I18" s="1"/>
      <c r="J18" s="1"/>
      <c r="K18" s="1"/>
      <c r="L18" s="1" t="s">
        <v>78</v>
      </c>
      <c r="M18" s="23">
        <f>SUM(M3:M14)</f>
        <v>120</v>
      </c>
      <c r="N18" s="3"/>
      <c r="O18" s="1" t="s">
        <v>79</v>
      </c>
      <c r="P18" s="19">
        <f>SUM(N10:P10)</f>
        <v>27948</v>
      </c>
      <c r="Q18" s="5" t="s">
        <v>80</v>
      </c>
      <c r="R18" s="20">
        <f>R17*0.1</f>
        <v>388.8</v>
      </c>
      <c r="S18" s="55"/>
      <c r="T18" s="57">
        <f>T17*0.1</f>
        <v>340.8</v>
      </c>
      <c r="U18" s="9"/>
      <c r="V18" s="60">
        <f>V17*0.1</f>
        <v>299</v>
      </c>
    </row>
    <row r="19" ht="15.0" customHeight="1">
      <c r="A19" s="1">
        <v>6.0</v>
      </c>
      <c r="B19" s="1">
        <v>12.0</v>
      </c>
      <c r="C19" s="1">
        <v>6.0</v>
      </c>
      <c r="D19" s="1">
        <v>0.0</v>
      </c>
      <c r="E19" s="1">
        <f t="shared" si="4"/>
        <v>18</v>
      </c>
      <c r="F19" s="1">
        <v>24190.0</v>
      </c>
      <c r="G19" s="1"/>
      <c r="H19" s="1"/>
      <c r="I19" s="1"/>
      <c r="J19" s="62"/>
      <c r="K19" s="62"/>
      <c r="L19" s="62" t="s">
        <v>130</v>
      </c>
      <c r="M19" s="63">
        <v>128.0</v>
      </c>
      <c r="N19" s="3">
        <f>M19/M18</f>
        <v>1.066666667</v>
      </c>
      <c r="O19" s="1" t="s">
        <v>81</v>
      </c>
      <c r="P19" s="19">
        <f>P18/M18</f>
        <v>232.9</v>
      </c>
      <c r="Q19" s="5"/>
      <c r="R19" s="5"/>
      <c r="S19" s="55"/>
      <c r="T19" s="55"/>
      <c r="U19" s="9"/>
      <c r="V19" s="9"/>
    </row>
    <row r="20" ht="15.0" customHeight="1">
      <c r="A20" s="1">
        <v>9.0</v>
      </c>
      <c r="B20" s="1">
        <v>0.0</v>
      </c>
      <c r="C20" s="1">
        <v>10.0</v>
      </c>
      <c r="D20" s="1">
        <v>12.0</v>
      </c>
      <c r="E20" s="1">
        <f t="shared" si="4"/>
        <v>22</v>
      </c>
      <c r="F20" s="1">
        <v>36574.0</v>
      </c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>
        <v>10.0</v>
      </c>
      <c r="B21" s="1">
        <v>0.0</v>
      </c>
      <c r="C21" s="1">
        <v>10.0</v>
      </c>
      <c r="D21" s="1">
        <v>12.0</v>
      </c>
      <c r="E21" s="1">
        <f t="shared" si="4"/>
        <v>22</v>
      </c>
      <c r="F21" s="1">
        <v>36574.0</v>
      </c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9">
        <f>P16*0.63</f>
        <v>17607.24</v>
      </c>
      <c r="O21" s="1"/>
      <c r="P21" s="19"/>
      <c r="Q21" s="67">
        <v>0.08</v>
      </c>
      <c r="R21" s="1"/>
      <c r="S21" s="1"/>
      <c r="T21" s="19">
        <f>SUM(R17:R18)+SUM(T17:T18)</f>
        <v>8025.6</v>
      </c>
      <c r="U21" s="1"/>
      <c r="V21" s="1"/>
    </row>
    <row r="22" ht="15.0" customHeight="1">
      <c r="A22" s="1">
        <v>11.0</v>
      </c>
      <c r="B22" s="1">
        <v>12.0</v>
      </c>
      <c r="C22" s="1">
        <v>6.0</v>
      </c>
      <c r="D22" s="1">
        <v>0.0</v>
      </c>
      <c r="E22" s="1">
        <f t="shared" si="4"/>
        <v>18</v>
      </c>
      <c r="F22" s="1">
        <v>24190.0</v>
      </c>
      <c r="G22" s="1"/>
      <c r="H22" s="1"/>
      <c r="I22" s="71">
        <v>110000.0</v>
      </c>
      <c r="J22" s="72">
        <v>0.25</v>
      </c>
      <c r="K22" s="52">
        <f>I22*J22</f>
        <v>27500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>
        <v>12.0</v>
      </c>
      <c r="B23" s="1">
        <v>0.0</v>
      </c>
      <c r="C23" s="1">
        <v>18.0</v>
      </c>
      <c r="D23" s="1">
        <v>0.0</v>
      </c>
      <c r="E23" s="1">
        <f t="shared" si="4"/>
        <v>18</v>
      </c>
      <c r="F23" s="1">
        <v>28170.0</v>
      </c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>
        <v>14.0</v>
      </c>
      <c r="B24" s="1">
        <v>0.0</v>
      </c>
      <c r="C24" s="1">
        <v>2.0</v>
      </c>
      <c r="D24" s="1">
        <v>0.0</v>
      </c>
      <c r="E24" s="1">
        <f t="shared" si="4"/>
        <v>2</v>
      </c>
      <c r="F24" s="1">
        <v>5124.0</v>
      </c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>
        <v>15.0</v>
      </c>
      <c r="B25" s="1">
        <v>0.0</v>
      </c>
      <c r="C25" s="1">
        <v>2.0</v>
      </c>
      <c r="D25" s="1">
        <v>0.0</v>
      </c>
      <c r="E25" s="1">
        <f t="shared" si="4"/>
        <v>2</v>
      </c>
      <c r="F25" s="1">
        <v>5124.0</v>
      </c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>
        <v>16.0</v>
      </c>
      <c r="B26" s="1">
        <v>0.0</v>
      </c>
      <c r="C26" s="1">
        <v>2.0</v>
      </c>
      <c r="D26" s="1">
        <v>0.0</v>
      </c>
      <c r="E26" s="1">
        <f t="shared" si="4"/>
        <v>2</v>
      </c>
      <c r="F26" s="1">
        <v>5124.0</v>
      </c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>
        <v>17.0</v>
      </c>
      <c r="B27" s="1">
        <v>0.0</v>
      </c>
      <c r="C27" s="1">
        <v>2.0</v>
      </c>
      <c r="D27" s="1">
        <v>0.0</v>
      </c>
      <c r="E27" s="1">
        <f t="shared" si="4"/>
        <v>2</v>
      </c>
      <c r="F27" s="1">
        <v>5124.0</v>
      </c>
      <c r="G27" s="1"/>
      <c r="H27" s="1"/>
      <c r="I27" s="72" t="s">
        <v>95</v>
      </c>
      <c r="J27" s="72" t="s">
        <v>26</v>
      </c>
      <c r="K27" s="72">
        <f>I22*0.1</f>
        <v>11000</v>
      </c>
      <c r="L27" s="72"/>
      <c r="M27" s="75">
        <f>0.09*I22</f>
        <v>9900</v>
      </c>
      <c r="N27" s="72"/>
      <c r="O27" s="76" t="s">
        <v>97</v>
      </c>
      <c r="P27" s="77">
        <f>N10/P19</f>
        <v>43.89866896</v>
      </c>
      <c r="Q27" s="1"/>
      <c r="R27" s="19"/>
      <c r="S27" s="1"/>
      <c r="T27" s="1"/>
      <c r="U27" s="1"/>
      <c r="V27" s="1"/>
    </row>
    <row r="28" ht="15.0" customHeight="1">
      <c r="A28" s="1">
        <v>18.0</v>
      </c>
      <c r="B28" s="1">
        <v>0.0</v>
      </c>
      <c r="C28" s="1">
        <v>2.0</v>
      </c>
      <c r="D28" s="1">
        <v>0.0</v>
      </c>
      <c r="E28" s="1">
        <f t="shared" si="4"/>
        <v>2</v>
      </c>
      <c r="F28" s="1">
        <v>5124.0</v>
      </c>
      <c r="G28" s="1"/>
      <c r="H28" s="1"/>
      <c r="I28" s="72" t="s">
        <v>98</v>
      </c>
      <c r="J28" s="72" t="s">
        <v>25</v>
      </c>
      <c r="K28" s="72">
        <f>I22*0.14</f>
        <v>15400</v>
      </c>
      <c r="L28" s="72"/>
      <c r="M28" s="75">
        <f>0.12*I22</f>
        <v>13200</v>
      </c>
      <c r="N28" s="72"/>
      <c r="O28" s="76" t="s">
        <v>99</v>
      </c>
      <c r="P28" s="77">
        <f>O10/P19</f>
        <v>50.08158008</v>
      </c>
      <c r="Q28" s="1"/>
      <c r="R28" s="1"/>
      <c r="S28" s="70" t="s">
        <v>89</v>
      </c>
      <c r="T28" s="73">
        <f>P17-T21</f>
        <v>-8025.6</v>
      </c>
      <c r="U28" s="1"/>
      <c r="V28" s="1"/>
    </row>
    <row r="29" ht="15.0" customHeight="1">
      <c r="A29" s="1">
        <v>19.0</v>
      </c>
      <c r="B29" s="1">
        <v>0.0</v>
      </c>
      <c r="C29" s="1">
        <v>2.0</v>
      </c>
      <c r="D29" s="1">
        <v>0.0</v>
      </c>
      <c r="E29" s="1">
        <f t="shared" si="4"/>
        <v>2</v>
      </c>
      <c r="F29" s="1">
        <v>5124.0</v>
      </c>
      <c r="G29" s="1"/>
      <c r="H29" s="1"/>
      <c r="I29" s="72" t="s">
        <v>100</v>
      </c>
      <c r="J29" s="72" t="s">
        <v>101</v>
      </c>
      <c r="K29" s="72">
        <f>I22*0.06</f>
        <v>6600</v>
      </c>
      <c r="L29" s="72"/>
      <c r="M29" s="75">
        <f>0.06*I22</f>
        <v>6600</v>
      </c>
      <c r="N29" s="72"/>
      <c r="O29" s="76" t="s">
        <v>49</v>
      </c>
      <c r="P29" s="77">
        <f>P10/P19</f>
        <v>26.01975097</v>
      </c>
      <c r="Q29" s="1"/>
      <c r="R29" s="1"/>
      <c r="S29" s="1" t="s">
        <v>90</v>
      </c>
      <c r="T29" s="19">
        <f>P17-T21-Q22</f>
        <v>-8025.6</v>
      </c>
      <c r="U29" s="1"/>
      <c r="V29" s="1"/>
    </row>
    <row r="30" ht="15.0" customHeight="1">
      <c r="A30" s="1" t="s">
        <v>118</v>
      </c>
      <c r="B30" s="1"/>
      <c r="C30" s="1"/>
      <c r="D30" s="1"/>
      <c r="E30" s="1"/>
      <c r="F30" s="1">
        <v>5874.0</v>
      </c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4400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>
        <v>853.0</v>
      </c>
      <c r="G31" s="1"/>
      <c r="H31" s="1"/>
      <c r="I31" s="72"/>
      <c r="J31" s="72" t="s">
        <v>103</v>
      </c>
      <c r="K31" s="78">
        <f>SUM(K27:K29)</f>
        <v>33000</v>
      </c>
      <c r="L31" s="72"/>
      <c r="M31" s="78">
        <f>SUM(M27:M30)</f>
        <v>34100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>
        <v>407.0</v>
      </c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>
        <v>1.0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>
        <v>2.0</v>
      </c>
      <c r="B34" s="1"/>
      <c r="C34" s="1"/>
      <c r="D34" s="1" t="s">
        <v>120</v>
      </c>
      <c r="E34" s="1">
        <f>SUM(E36,E35)</f>
        <v>19</v>
      </c>
      <c r="F34" s="1"/>
      <c r="G34" s="1"/>
      <c r="H34" s="1"/>
      <c r="I34" s="1"/>
      <c r="J34" s="1"/>
      <c r="K34" s="1"/>
      <c r="L34" s="1"/>
      <c r="M34" s="3" t="s">
        <v>122</v>
      </c>
      <c r="N34" s="19">
        <f>K31*0.63</f>
        <v>20790</v>
      </c>
      <c r="O34" s="1" t="s">
        <v>123</v>
      </c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>
        <v>3.0</v>
      </c>
      <c r="B35" s="1"/>
      <c r="C35" s="1"/>
      <c r="D35" s="1" t="s">
        <v>124</v>
      </c>
      <c r="E35" s="1">
        <f>COUNTA(A33:A39)</f>
        <v>7</v>
      </c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>
        <v>5.0</v>
      </c>
      <c r="B36" s="1"/>
      <c r="C36" s="1"/>
      <c r="D36" s="1" t="s">
        <v>126</v>
      </c>
      <c r="E36" s="1">
        <f>COUNTA(A18:A29)</f>
        <v>12</v>
      </c>
      <c r="F36" s="1">
        <f>E36/E34</f>
        <v>0.6315789474</v>
      </c>
      <c r="G36" s="1"/>
      <c r="H36" s="1"/>
      <c r="I36" s="1"/>
      <c r="J36" s="62" t="s">
        <v>107</v>
      </c>
      <c r="K36" s="62"/>
      <c r="L36" s="76">
        <f>P19/I22</f>
        <v>0.002117272727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>
        <v>7.0</v>
      </c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>
        <v>8.0</v>
      </c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>
        <v>13.0</v>
      </c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 t="s">
        <v>128</v>
      </c>
      <c r="O39" s="62">
        <v>90.0</v>
      </c>
      <c r="P39" s="1"/>
      <c r="Q39" s="1"/>
      <c r="R39" s="1"/>
      <c r="S39" s="1"/>
      <c r="T39" s="1"/>
      <c r="U39" s="1"/>
      <c r="V39" s="1"/>
    </row>
    <row r="40" ht="15.0" customHeight="1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 t="s">
        <v>99</v>
      </c>
      <c r="O40" s="62">
        <v>130.0</v>
      </c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 t="s">
        <v>49</v>
      </c>
      <c r="O41" s="62">
        <v>70.0</v>
      </c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2.67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48.0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158.0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36.0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23088</v>
      </c>
      <c r="O10" s="41">
        <f>K3*M3+K6*M6+K9*M9+M12*K12</f>
        <v>25992</v>
      </c>
      <c r="P10" s="41">
        <f>M3*L3+M6*L6+M9*L9+M12*L12</f>
        <v>13250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80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>
        <f>160000-91692</f>
        <v>68308</v>
      </c>
      <c r="M16" s="52">
        <f>K16*L16</f>
        <v>13661.6</v>
      </c>
      <c r="N16" s="65"/>
      <c r="O16" s="1"/>
      <c r="P16" s="54">
        <f>SUM(N10:P10)+M16</f>
        <v>75991.6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 t="s">
        <v>115</v>
      </c>
      <c r="B17" s="1">
        <v>1.0</v>
      </c>
      <c r="C17" s="1">
        <v>2.0</v>
      </c>
      <c r="D17" s="1">
        <v>3.0</v>
      </c>
      <c r="E17" s="1" t="s">
        <v>116</v>
      </c>
      <c r="F17" s="1" t="s">
        <v>117</v>
      </c>
      <c r="G17" s="1"/>
      <c r="H17" s="1"/>
      <c r="I17" s="1"/>
      <c r="J17" s="1"/>
      <c r="K17" s="1"/>
      <c r="L17" s="1"/>
      <c r="M17" s="23"/>
      <c r="N17" s="3"/>
      <c r="O17" s="1"/>
      <c r="P17" s="41"/>
      <c r="Q17" s="5">
        <f>M3*F3+M6*F6+M9*F9</f>
        <v>866.4</v>
      </c>
      <c r="R17" s="20">
        <f>M3*H3+M6*H6+M9*H9+(N16/2)</f>
        <v>8664</v>
      </c>
      <c r="S17" s="55">
        <f>M3*F4+F7*M6+F10*M9</f>
        <v>769.6</v>
      </c>
      <c r="T17" s="57">
        <f>M3*H4+H7*M6+H11*M9+(N16/2)</f>
        <v>7120</v>
      </c>
      <c r="U17" s="9">
        <f>M3*F5+F8*M6+F11*M9</f>
        <v>433.2</v>
      </c>
      <c r="V17" s="58">
        <f>H5*L3+H8*L6+H11*L9</f>
        <v>2990</v>
      </c>
    </row>
    <row r="18" ht="15.0" customHeight="1">
      <c r="A18" s="1">
        <v>4.0</v>
      </c>
      <c r="B18" s="1">
        <v>0.0</v>
      </c>
      <c r="C18" s="1">
        <v>18.0</v>
      </c>
      <c r="D18" s="1">
        <v>0.0</v>
      </c>
      <c r="E18" s="1">
        <f t="shared" ref="E18:E29" si="4">SUM(B18:D18)</f>
        <v>18</v>
      </c>
      <c r="F18" s="1">
        <v>28170.0</v>
      </c>
      <c r="G18" s="1"/>
      <c r="H18" s="1"/>
      <c r="I18" s="1"/>
      <c r="J18" s="1"/>
      <c r="K18" s="1"/>
      <c r="L18" s="1" t="s">
        <v>78</v>
      </c>
      <c r="M18" s="23">
        <f>SUM(M3:M14)</f>
        <v>242</v>
      </c>
      <c r="N18" s="3"/>
      <c r="O18" s="1" t="s">
        <v>79</v>
      </c>
      <c r="P18" s="19">
        <f>SUM(N10:P10)</f>
        <v>62330</v>
      </c>
      <c r="Q18" s="5" t="s">
        <v>80</v>
      </c>
      <c r="R18" s="20">
        <f>R17*0.1</f>
        <v>866.4</v>
      </c>
      <c r="S18" s="55"/>
      <c r="T18" s="57">
        <f>T17*0.1</f>
        <v>712</v>
      </c>
      <c r="U18" s="9"/>
      <c r="V18" s="60">
        <f>V17*0.1</f>
        <v>299</v>
      </c>
    </row>
    <row r="19" ht="15.0" customHeight="1">
      <c r="A19" s="1">
        <v>6.0</v>
      </c>
      <c r="B19" s="1">
        <v>12.0</v>
      </c>
      <c r="C19" s="1">
        <v>6.0</v>
      </c>
      <c r="D19" s="1">
        <v>0.0</v>
      </c>
      <c r="E19" s="1">
        <f t="shared" si="4"/>
        <v>18</v>
      </c>
      <c r="F19" s="1">
        <v>24190.0</v>
      </c>
      <c r="G19" s="1"/>
      <c r="H19" s="1"/>
      <c r="I19" s="1"/>
      <c r="J19" s="62"/>
      <c r="K19" s="62"/>
      <c r="L19" s="62" t="s">
        <v>130</v>
      </c>
      <c r="M19" s="63">
        <v>128.0</v>
      </c>
      <c r="N19" s="3">
        <f>M19/M18</f>
        <v>0.5289256198</v>
      </c>
      <c r="O19" s="1" t="s">
        <v>81</v>
      </c>
      <c r="P19" s="19">
        <f>P18/M18</f>
        <v>257.5619835</v>
      </c>
      <c r="Q19" s="5"/>
      <c r="R19" s="5"/>
      <c r="S19" s="55"/>
      <c r="T19" s="55"/>
      <c r="U19" s="9"/>
      <c r="V19" s="9"/>
    </row>
    <row r="20" ht="15.0" customHeight="1">
      <c r="A20" s="1">
        <v>9.0</v>
      </c>
      <c r="B20" s="1">
        <v>0.0</v>
      </c>
      <c r="C20" s="1">
        <v>10.0</v>
      </c>
      <c r="D20" s="1">
        <v>12.0</v>
      </c>
      <c r="E20" s="1">
        <f t="shared" si="4"/>
        <v>22</v>
      </c>
      <c r="F20" s="1">
        <v>36574.0</v>
      </c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>
        <v>10.0</v>
      </c>
      <c r="B21" s="1">
        <v>0.0</v>
      </c>
      <c r="C21" s="1">
        <v>10.0</v>
      </c>
      <c r="D21" s="1">
        <v>12.0</v>
      </c>
      <c r="E21" s="1">
        <f t="shared" si="4"/>
        <v>22</v>
      </c>
      <c r="F21" s="1">
        <v>36574.0</v>
      </c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9">
        <f>P16*0.63</f>
        <v>47874.708</v>
      </c>
      <c r="O21" s="1"/>
      <c r="P21" s="19"/>
      <c r="Q21" s="67">
        <v>0.08</v>
      </c>
      <c r="R21" s="1"/>
      <c r="S21" s="1"/>
      <c r="T21" s="19">
        <f>SUM(R17:R18)+SUM(T17:T18)</f>
        <v>17362.4</v>
      </c>
      <c r="U21" s="1"/>
      <c r="V21" s="1"/>
    </row>
    <row r="22" ht="15.0" customHeight="1">
      <c r="A22" s="1">
        <v>11.0</v>
      </c>
      <c r="B22" s="1">
        <v>12.0</v>
      </c>
      <c r="C22" s="1">
        <v>6.0</v>
      </c>
      <c r="D22" s="1">
        <v>0.0</v>
      </c>
      <c r="E22" s="1">
        <f t="shared" si="4"/>
        <v>18</v>
      </c>
      <c r="F22" s="1">
        <v>24190.0</v>
      </c>
      <c r="G22" s="1"/>
      <c r="H22" s="1"/>
      <c r="I22" s="71">
        <v>389900.0</v>
      </c>
      <c r="J22" s="72">
        <v>0.25</v>
      </c>
      <c r="K22" s="52">
        <f>I22*J22</f>
        <v>97475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>
        <v>12.0</v>
      </c>
      <c r="B23" s="1">
        <v>0.0</v>
      </c>
      <c r="C23" s="1">
        <v>18.0</v>
      </c>
      <c r="D23" s="1">
        <v>0.0</v>
      </c>
      <c r="E23" s="1">
        <f t="shared" si="4"/>
        <v>18</v>
      </c>
      <c r="F23" s="1">
        <v>28170.0</v>
      </c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>
        <v>14.0</v>
      </c>
      <c r="B24" s="1">
        <v>0.0</v>
      </c>
      <c r="C24" s="1">
        <v>2.0</v>
      </c>
      <c r="D24" s="1">
        <v>0.0</v>
      </c>
      <c r="E24" s="1">
        <f t="shared" si="4"/>
        <v>2</v>
      </c>
      <c r="F24" s="1">
        <v>5124.0</v>
      </c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>
        <v>15.0</v>
      </c>
      <c r="B25" s="1">
        <v>0.0</v>
      </c>
      <c r="C25" s="1">
        <v>2.0</v>
      </c>
      <c r="D25" s="1">
        <v>0.0</v>
      </c>
      <c r="E25" s="1">
        <f t="shared" si="4"/>
        <v>2</v>
      </c>
      <c r="F25" s="1">
        <v>5124.0</v>
      </c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>
        <v>16.0</v>
      </c>
      <c r="B26" s="1">
        <v>0.0</v>
      </c>
      <c r="C26" s="1">
        <v>2.0</v>
      </c>
      <c r="D26" s="1">
        <v>0.0</v>
      </c>
      <c r="E26" s="1">
        <f t="shared" si="4"/>
        <v>2</v>
      </c>
      <c r="F26" s="1">
        <v>5124.0</v>
      </c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>
        <v>17.0</v>
      </c>
      <c r="B27" s="1">
        <v>0.0</v>
      </c>
      <c r="C27" s="1">
        <v>2.0</v>
      </c>
      <c r="D27" s="1">
        <v>0.0</v>
      </c>
      <c r="E27" s="1">
        <f t="shared" si="4"/>
        <v>2</v>
      </c>
      <c r="F27" s="1">
        <v>5124.0</v>
      </c>
      <c r="G27" s="1"/>
      <c r="H27" s="1"/>
      <c r="I27" s="72" t="s">
        <v>95</v>
      </c>
      <c r="J27" s="72" t="s">
        <v>26</v>
      </c>
      <c r="K27" s="72">
        <f>I22*0.1</f>
        <v>38990</v>
      </c>
      <c r="L27" s="72"/>
      <c r="M27" s="75">
        <f>0.09*I22</f>
        <v>35091</v>
      </c>
      <c r="N27" s="72"/>
      <c r="O27" s="76" t="s">
        <v>97</v>
      </c>
      <c r="P27" s="77">
        <f>N10/P19</f>
        <v>89.64055832</v>
      </c>
      <c r="Q27" s="1"/>
      <c r="R27" s="19"/>
      <c r="S27" s="1"/>
      <c r="T27" s="1"/>
      <c r="U27" s="1"/>
      <c r="V27" s="1"/>
    </row>
    <row r="28" ht="15.0" customHeight="1">
      <c r="A28" s="1">
        <v>18.0</v>
      </c>
      <c r="B28" s="1">
        <v>0.0</v>
      </c>
      <c r="C28" s="1">
        <v>2.0</v>
      </c>
      <c r="D28" s="1">
        <v>0.0</v>
      </c>
      <c r="E28" s="1">
        <f t="shared" si="4"/>
        <v>2</v>
      </c>
      <c r="F28" s="1">
        <v>5124.0</v>
      </c>
      <c r="G28" s="1"/>
      <c r="H28" s="1"/>
      <c r="I28" s="72" t="s">
        <v>98</v>
      </c>
      <c r="J28" s="72" t="s">
        <v>25</v>
      </c>
      <c r="K28" s="72">
        <f>I22*0.14</f>
        <v>54586</v>
      </c>
      <c r="L28" s="72"/>
      <c r="M28" s="75">
        <f>0.12*I22</f>
        <v>46788</v>
      </c>
      <c r="N28" s="72"/>
      <c r="O28" s="76" t="s">
        <v>99</v>
      </c>
      <c r="P28" s="77">
        <f>O10/P19</f>
        <v>100.9155142</v>
      </c>
      <c r="Q28" s="1"/>
      <c r="R28" s="1"/>
      <c r="S28" s="70" t="s">
        <v>89</v>
      </c>
      <c r="T28" s="73">
        <f>P17-T21</f>
        <v>-17362.4</v>
      </c>
      <c r="U28" s="1"/>
      <c r="V28" s="1"/>
    </row>
    <row r="29" ht="15.0" customHeight="1">
      <c r="A29" s="1">
        <v>19.0</v>
      </c>
      <c r="B29" s="1">
        <v>0.0</v>
      </c>
      <c r="C29" s="1">
        <v>2.0</v>
      </c>
      <c r="D29" s="1">
        <v>0.0</v>
      </c>
      <c r="E29" s="1">
        <f t="shared" si="4"/>
        <v>2</v>
      </c>
      <c r="F29" s="1">
        <v>5124.0</v>
      </c>
      <c r="G29" s="1"/>
      <c r="H29" s="1"/>
      <c r="I29" s="72" t="s">
        <v>100</v>
      </c>
      <c r="J29" s="72" t="s">
        <v>101</v>
      </c>
      <c r="K29" s="72">
        <f>I22*0.06</f>
        <v>23394</v>
      </c>
      <c r="L29" s="72"/>
      <c r="M29" s="75">
        <f>0.06*I22</f>
        <v>23394</v>
      </c>
      <c r="N29" s="72"/>
      <c r="O29" s="76" t="s">
        <v>49</v>
      </c>
      <c r="P29" s="77">
        <f>P10/P19</f>
        <v>51.44392748</v>
      </c>
      <c r="Q29" s="1"/>
      <c r="R29" s="1"/>
      <c r="S29" s="1" t="s">
        <v>90</v>
      </c>
      <c r="T29" s="19">
        <f>P17-T21-Q22</f>
        <v>-17362.4</v>
      </c>
      <c r="U29" s="1"/>
      <c r="V29" s="1"/>
    </row>
    <row r="30" ht="15.0" customHeight="1">
      <c r="A30" s="1" t="s">
        <v>118</v>
      </c>
      <c r="B30" s="1"/>
      <c r="C30" s="1"/>
      <c r="D30" s="1"/>
      <c r="E30" s="1"/>
      <c r="F30" s="1">
        <v>5874.0</v>
      </c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15596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>
        <v>853.0</v>
      </c>
      <c r="G31" s="1"/>
      <c r="H31" s="1"/>
      <c r="I31" s="72"/>
      <c r="J31" s="72" t="s">
        <v>103</v>
      </c>
      <c r="K31" s="78">
        <f>SUM(K27:K29)</f>
        <v>116970</v>
      </c>
      <c r="L31" s="72"/>
      <c r="M31" s="78">
        <f>SUM(M27:M30)</f>
        <v>120869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>
        <v>407.0</v>
      </c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>
        <v>1.0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>
        <v>2.0</v>
      </c>
      <c r="B34" s="1"/>
      <c r="C34" s="1"/>
      <c r="D34" s="1" t="s">
        <v>120</v>
      </c>
      <c r="E34" s="1">
        <f>SUM(E36,E35)</f>
        <v>19</v>
      </c>
      <c r="F34" s="1"/>
      <c r="G34" s="1"/>
      <c r="H34" s="1"/>
      <c r="I34" s="1"/>
      <c r="J34" s="1"/>
      <c r="K34" s="1"/>
      <c r="L34" s="1"/>
      <c r="M34" s="3" t="s">
        <v>122</v>
      </c>
      <c r="N34" s="19">
        <f>K31*0.63</f>
        <v>73691.1</v>
      </c>
      <c r="O34" s="1" t="s">
        <v>123</v>
      </c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>
        <v>3.0</v>
      </c>
      <c r="B35" s="1"/>
      <c r="C35" s="1"/>
      <c r="D35" s="1" t="s">
        <v>124</v>
      </c>
      <c r="E35" s="1">
        <f>COUNTA(A33:A39)</f>
        <v>7</v>
      </c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>
        <v>5.0</v>
      </c>
      <c r="B36" s="1"/>
      <c r="C36" s="1"/>
      <c r="D36" s="1" t="s">
        <v>126</v>
      </c>
      <c r="E36" s="1">
        <f>COUNTA(A18:A29)</f>
        <v>12</v>
      </c>
      <c r="F36" s="1">
        <f>E36/E34</f>
        <v>0.6315789474</v>
      </c>
      <c r="G36" s="1"/>
      <c r="H36" s="1"/>
      <c r="I36" s="1"/>
      <c r="J36" s="62" t="s">
        <v>107</v>
      </c>
      <c r="K36" s="62"/>
      <c r="L36" s="76">
        <f>P19/I22</f>
        <v>0.0006605847229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>
        <v>7.0</v>
      </c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>
        <v>8.0</v>
      </c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>
        <v>13.0</v>
      </c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 t="s">
        <v>128</v>
      </c>
      <c r="O39" s="62">
        <v>90.0</v>
      </c>
      <c r="P39" s="1"/>
      <c r="Q39" s="1"/>
      <c r="R39" s="1"/>
      <c r="S39" s="1"/>
      <c r="T39" s="1"/>
      <c r="U39" s="1"/>
      <c r="V39" s="1"/>
    </row>
    <row r="40" ht="15.0" customHeight="1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 t="s">
        <v>99</v>
      </c>
      <c r="O40" s="62">
        <v>130.0</v>
      </c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 t="s">
        <v>49</v>
      </c>
      <c r="O41" s="62">
        <v>70.0</v>
      </c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2.67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48.0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158.0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36.0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23088</v>
      </c>
      <c r="O10" s="41">
        <f>K3*M3+K6*M6+K9*M9+M12*K12</f>
        <v>25992</v>
      </c>
      <c r="P10" s="41">
        <f>M3*L3+M6*L6+M9*L9+M12*L12</f>
        <v>13250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80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>
        <f>160000-91692</f>
        <v>68308</v>
      </c>
      <c r="M16" s="52">
        <f>K16*L16</f>
        <v>13661.6</v>
      </c>
      <c r="N16" s="65"/>
      <c r="O16" s="1"/>
      <c r="P16" s="54">
        <f>SUM(N10:P10)+M16</f>
        <v>75991.6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 t="s">
        <v>115</v>
      </c>
      <c r="B17" s="1">
        <v>1.0</v>
      </c>
      <c r="C17" s="1">
        <v>2.0</v>
      </c>
      <c r="D17" s="1">
        <v>3.0</v>
      </c>
      <c r="E17" s="1" t="s">
        <v>116</v>
      </c>
      <c r="F17" s="1" t="s">
        <v>117</v>
      </c>
      <c r="G17" s="1"/>
      <c r="H17" s="1"/>
      <c r="I17" s="1"/>
      <c r="J17" s="1"/>
      <c r="K17" s="1"/>
      <c r="L17" s="1"/>
      <c r="M17" s="23"/>
      <c r="N17" s="3"/>
      <c r="O17" s="1"/>
      <c r="P17" s="41"/>
      <c r="Q17" s="5">
        <f>M3*F3+M6*F6+M9*F9</f>
        <v>866.4</v>
      </c>
      <c r="R17" s="20">
        <f>M3*H3+M6*H6+M9*H9+(N16/2)</f>
        <v>8664</v>
      </c>
      <c r="S17" s="55">
        <f>M3*F4+F7*M6+F10*M9</f>
        <v>769.6</v>
      </c>
      <c r="T17" s="57">
        <f>M3*H4+H7*M6+H11*M9+(N16/2)</f>
        <v>7120</v>
      </c>
      <c r="U17" s="9">
        <f>M3*F5+F8*M6+F11*M9</f>
        <v>433.2</v>
      </c>
      <c r="V17" s="58">
        <f>H5*L3+H8*L6+H11*L9</f>
        <v>2990</v>
      </c>
    </row>
    <row r="18" ht="15.0" customHeight="1">
      <c r="A18" s="1">
        <v>4.0</v>
      </c>
      <c r="B18" s="1">
        <v>0.0</v>
      </c>
      <c r="C18" s="1">
        <v>18.0</v>
      </c>
      <c r="D18" s="1">
        <v>0.0</v>
      </c>
      <c r="E18" s="1">
        <f t="shared" ref="E18:E29" si="4">SUM(B18:D18)</f>
        <v>18</v>
      </c>
      <c r="F18" s="1">
        <v>28170.0</v>
      </c>
      <c r="G18" s="1"/>
      <c r="H18" s="1"/>
      <c r="I18" s="1"/>
      <c r="J18" s="1"/>
      <c r="K18" s="1"/>
      <c r="L18" s="1" t="s">
        <v>78</v>
      </c>
      <c r="M18" s="23">
        <f>SUM(M3:M14)</f>
        <v>242</v>
      </c>
      <c r="N18" s="3"/>
      <c r="O18" s="1" t="s">
        <v>79</v>
      </c>
      <c r="P18" s="19">
        <f>SUM(N10:P10)</f>
        <v>62330</v>
      </c>
      <c r="Q18" s="5" t="s">
        <v>80</v>
      </c>
      <c r="R18" s="20">
        <f>R17*0.1</f>
        <v>866.4</v>
      </c>
      <c r="S18" s="55"/>
      <c r="T18" s="57">
        <f>T17*0.1</f>
        <v>712</v>
      </c>
      <c r="U18" s="9"/>
      <c r="V18" s="60">
        <f>V17*0.1</f>
        <v>299</v>
      </c>
    </row>
    <row r="19" ht="15.0" customHeight="1">
      <c r="A19" s="1">
        <v>6.0</v>
      </c>
      <c r="B19" s="1">
        <v>12.0</v>
      </c>
      <c r="C19" s="1">
        <v>6.0</v>
      </c>
      <c r="D19" s="1">
        <v>0.0</v>
      </c>
      <c r="E19" s="1">
        <f t="shared" si="4"/>
        <v>18</v>
      </c>
      <c r="F19" s="1">
        <v>24190.0</v>
      </c>
      <c r="G19" s="1"/>
      <c r="H19" s="1"/>
      <c r="I19" s="1"/>
      <c r="J19" s="62"/>
      <c r="K19" s="62"/>
      <c r="L19" s="62" t="s">
        <v>130</v>
      </c>
      <c r="M19" s="63">
        <v>128.0</v>
      </c>
      <c r="N19" s="3">
        <f>M19/M18</f>
        <v>0.5289256198</v>
      </c>
      <c r="O19" s="1" t="s">
        <v>81</v>
      </c>
      <c r="P19" s="19">
        <f>P18/M18</f>
        <v>257.5619835</v>
      </c>
      <c r="Q19" s="5"/>
      <c r="R19" s="5"/>
      <c r="S19" s="55"/>
      <c r="T19" s="55"/>
      <c r="U19" s="9"/>
      <c r="V19" s="9"/>
    </row>
    <row r="20" ht="15.0" customHeight="1">
      <c r="A20" s="1">
        <v>9.0</v>
      </c>
      <c r="B20" s="1">
        <v>0.0</v>
      </c>
      <c r="C20" s="1">
        <v>10.0</v>
      </c>
      <c r="D20" s="1">
        <v>12.0</v>
      </c>
      <c r="E20" s="1">
        <f t="shared" si="4"/>
        <v>22</v>
      </c>
      <c r="F20" s="1">
        <v>36574.0</v>
      </c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>
        <v>10.0</v>
      </c>
      <c r="B21" s="1">
        <v>0.0</v>
      </c>
      <c r="C21" s="1">
        <v>10.0</v>
      </c>
      <c r="D21" s="1">
        <v>12.0</v>
      </c>
      <c r="E21" s="1">
        <f t="shared" si="4"/>
        <v>22</v>
      </c>
      <c r="F21" s="1">
        <v>36574.0</v>
      </c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9">
        <f>P16*0.63</f>
        <v>47874.708</v>
      </c>
      <c r="O21" s="1"/>
      <c r="P21" s="19"/>
      <c r="Q21" s="67">
        <v>0.08</v>
      </c>
      <c r="R21" s="1"/>
      <c r="S21" s="1"/>
      <c r="T21" s="19">
        <f>SUM(R17:R18)+SUM(T17:T18)</f>
        <v>17362.4</v>
      </c>
      <c r="U21" s="1"/>
      <c r="V21" s="1"/>
    </row>
    <row r="22" ht="15.0" customHeight="1">
      <c r="A22" s="1">
        <v>11.0</v>
      </c>
      <c r="B22" s="1">
        <v>12.0</v>
      </c>
      <c r="C22" s="1">
        <v>6.0</v>
      </c>
      <c r="D22" s="1">
        <v>0.0</v>
      </c>
      <c r="E22" s="1">
        <f t="shared" si="4"/>
        <v>18</v>
      </c>
      <c r="F22" s="1">
        <v>24190.0</v>
      </c>
      <c r="G22" s="1"/>
      <c r="H22" s="1"/>
      <c r="I22" s="71">
        <v>389900.0</v>
      </c>
      <c r="J22" s="72">
        <v>0.25</v>
      </c>
      <c r="K22" s="52">
        <f>I22*J22</f>
        <v>97475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>
        <v>12.0</v>
      </c>
      <c r="B23" s="1">
        <v>0.0</v>
      </c>
      <c r="C23" s="1">
        <v>18.0</v>
      </c>
      <c r="D23" s="1">
        <v>0.0</v>
      </c>
      <c r="E23" s="1">
        <f t="shared" si="4"/>
        <v>18</v>
      </c>
      <c r="F23" s="1">
        <v>28170.0</v>
      </c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>
        <v>14.0</v>
      </c>
      <c r="B24" s="1">
        <v>0.0</v>
      </c>
      <c r="C24" s="1">
        <v>2.0</v>
      </c>
      <c r="D24" s="1">
        <v>0.0</v>
      </c>
      <c r="E24" s="1">
        <f t="shared" si="4"/>
        <v>2</v>
      </c>
      <c r="F24" s="1">
        <v>5124.0</v>
      </c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>
        <v>15.0</v>
      </c>
      <c r="B25" s="1">
        <v>0.0</v>
      </c>
      <c r="C25" s="1">
        <v>2.0</v>
      </c>
      <c r="D25" s="1">
        <v>0.0</v>
      </c>
      <c r="E25" s="1">
        <f t="shared" si="4"/>
        <v>2</v>
      </c>
      <c r="F25" s="1">
        <v>5124.0</v>
      </c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>
        <v>16.0</v>
      </c>
      <c r="B26" s="1">
        <v>0.0</v>
      </c>
      <c r="C26" s="1">
        <v>2.0</v>
      </c>
      <c r="D26" s="1">
        <v>0.0</v>
      </c>
      <c r="E26" s="1">
        <f t="shared" si="4"/>
        <v>2</v>
      </c>
      <c r="F26" s="1">
        <v>5124.0</v>
      </c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>
        <v>17.0</v>
      </c>
      <c r="B27" s="1">
        <v>0.0</v>
      </c>
      <c r="C27" s="1">
        <v>2.0</v>
      </c>
      <c r="D27" s="1">
        <v>0.0</v>
      </c>
      <c r="E27" s="1">
        <f t="shared" si="4"/>
        <v>2</v>
      </c>
      <c r="F27" s="1">
        <v>5124.0</v>
      </c>
      <c r="G27" s="1"/>
      <c r="H27" s="1"/>
      <c r="I27" s="72" t="s">
        <v>95</v>
      </c>
      <c r="J27" s="72" t="s">
        <v>26</v>
      </c>
      <c r="K27" s="72">
        <f>I22*0.1</f>
        <v>38990</v>
      </c>
      <c r="L27" s="72"/>
      <c r="M27" s="75">
        <f>0.09*I22</f>
        <v>35091</v>
      </c>
      <c r="N27" s="72"/>
      <c r="O27" s="76" t="s">
        <v>97</v>
      </c>
      <c r="P27" s="77">
        <f>N10/P19</f>
        <v>89.64055832</v>
      </c>
      <c r="Q27" s="1"/>
      <c r="R27" s="19"/>
      <c r="S27" s="1"/>
      <c r="T27" s="1"/>
      <c r="U27" s="1"/>
      <c r="V27" s="1"/>
    </row>
    <row r="28" ht="15.0" customHeight="1">
      <c r="A28" s="1">
        <v>18.0</v>
      </c>
      <c r="B28" s="1">
        <v>0.0</v>
      </c>
      <c r="C28" s="1">
        <v>2.0</v>
      </c>
      <c r="D28" s="1">
        <v>0.0</v>
      </c>
      <c r="E28" s="1">
        <f t="shared" si="4"/>
        <v>2</v>
      </c>
      <c r="F28" s="1">
        <v>5124.0</v>
      </c>
      <c r="G28" s="1"/>
      <c r="H28" s="1"/>
      <c r="I28" s="72" t="s">
        <v>98</v>
      </c>
      <c r="J28" s="72" t="s">
        <v>25</v>
      </c>
      <c r="K28" s="72">
        <f>I22*0.14</f>
        <v>54586</v>
      </c>
      <c r="L28" s="72"/>
      <c r="M28" s="75">
        <f>0.12*I22</f>
        <v>46788</v>
      </c>
      <c r="N28" s="72"/>
      <c r="O28" s="76" t="s">
        <v>99</v>
      </c>
      <c r="P28" s="77">
        <f>O10/P19</f>
        <v>100.9155142</v>
      </c>
      <c r="Q28" s="1"/>
      <c r="R28" s="1"/>
      <c r="S28" s="70" t="s">
        <v>89</v>
      </c>
      <c r="T28" s="73">
        <f>P17-T21</f>
        <v>-17362.4</v>
      </c>
      <c r="U28" s="1"/>
      <c r="V28" s="1"/>
    </row>
    <row r="29" ht="15.0" customHeight="1">
      <c r="A29" s="1">
        <v>19.0</v>
      </c>
      <c r="B29" s="1">
        <v>0.0</v>
      </c>
      <c r="C29" s="1">
        <v>2.0</v>
      </c>
      <c r="D29" s="1">
        <v>0.0</v>
      </c>
      <c r="E29" s="1">
        <f t="shared" si="4"/>
        <v>2</v>
      </c>
      <c r="F29" s="1">
        <v>5124.0</v>
      </c>
      <c r="G29" s="1"/>
      <c r="H29" s="1"/>
      <c r="I29" s="72" t="s">
        <v>100</v>
      </c>
      <c r="J29" s="72" t="s">
        <v>101</v>
      </c>
      <c r="K29" s="72">
        <f>I22*0.06</f>
        <v>23394</v>
      </c>
      <c r="L29" s="72"/>
      <c r="M29" s="75">
        <f>0.06*I22</f>
        <v>23394</v>
      </c>
      <c r="N29" s="72"/>
      <c r="O29" s="76" t="s">
        <v>49</v>
      </c>
      <c r="P29" s="77">
        <f>P10/P19</f>
        <v>51.44392748</v>
      </c>
      <c r="Q29" s="1"/>
      <c r="R29" s="1"/>
      <c r="S29" s="1" t="s">
        <v>90</v>
      </c>
      <c r="T29" s="19">
        <f>P17-T21-Q22</f>
        <v>-17362.4</v>
      </c>
      <c r="U29" s="1"/>
      <c r="V29" s="1"/>
    </row>
    <row r="30" ht="15.0" customHeight="1">
      <c r="A30" s="1" t="s">
        <v>118</v>
      </c>
      <c r="B30" s="1"/>
      <c r="C30" s="1"/>
      <c r="D30" s="1"/>
      <c r="E30" s="1"/>
      <c r="F30" s="1">
        <v>5874.0</v>
      </c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15596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>
        <v>853.0</v>
      </c>
      <c r="G31" s="1"/>
      <c r="H31" s="1"/>
      <c r="I31" s="72"/>
      <c r="J31" s="72" t="s">
        <v>103</v>
      </c>
      <c r="K31" s="78">
        <f>SUM(K27:K29)</f>
        <v>116970</v>
      </c>
      <c r="L31" s="72"/>
      <c r="M31" s="78">
        <f>SUM(M27:M30)</f>
        <v>120869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>
        <v>407.0</v>
      </c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>
        <v>1.0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>
        <v>2.0</v>
      </c>
      <c r="B34" s="1"/>
      <c r="C34" s="1"/>
      <c r="D34" s="1" t="s">
        <v>120</v>
      </c>
      <c r="E34" s="1">
        <f>SUM(E36,E35)</f>
        <v>19</v>
      </c>
      <c r="F34" s="1"/>
      <c r="G34" s="1"/>
      <c r="H34" s="1"/>
      <c r="I34" s="1"/>
      <c r="J34" s="1"/>
      <c r="K34" s="1"/>
      <c r="L34" s="1"/>
      <c r="M34" s="3" t="s">
        <v>122</v>
      </c>
      <c r="N34" s="19">
        <f>K31*0.63</f>
        <v>73691.1</v>
      </c>
      <c r="O34" s="1" t="s">
        <v>123</v>
      </c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>
        <v>3.0</v>
      </c>
      <c r="B35" s="1"/>
      <c r="C35" s="1"/>
      <c r="D35" s="1" t="s">
        <v>124</v>
      </c>
      <c r="E35" s="1">
        <f>COUNTA(A33:A39)</f>
        <v>7</v>
      </c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>
        <v>5.0</v>
      </c>
      <c r="B36" s="1"/>
      <c r="C36" s="1"/>
      <c r="D36" s="1" t="s">
        <v>126</v>
      </c>
      <c r="E36" s="1">
        <f>COUNTA(A18:A29)</f>
        <v>12</v>
      </c>
      <c r="F36" s="1">
        <f>E36/E34</f>
        <v>0.6315789474</v>
      </c>
      <c r="G36" s="1"/>
      <c r="H36" s="1"/>
      <c r="I36" s="1"/>
      <c r="J36" s="62" t="s">
        <v>107</v>
      </c>
      <c r="K36" s="62"/>
      <c r="L36" s="76">
        <f>P19/I22</f>
        <v>0.0006605847229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>
        <v>7.0</v>
      </c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>
        <v>8.0</v>
      </c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>
        <v>13.0</v>
      </c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 t="s">
        <v>128</v>
      </c>
      <c r="O39" s="62">
        <v>90.0</v>
      </c>
      <c r="P39" s="1"/>
      <c r="Q39" s="1"/>
      <c r="R39" s="1"/>
      <c r="S39" s="1"/>
      <c r="T39" s="1"/>
      <c r="U39" s="1"/>
      <c r="V39" s="1"/>
    </row>
    <row r="40" ht="15.0" customHeight="1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 t="s">
        <v>99</v>
      </c>
      <c r="O40" s="62">
        <v>130.0</v>
      </c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 t="s">
        <v>49</v>
      </c>
      <c r="O41" s="62">
        <v>70.0</v>
      </c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115.0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115.0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20700</v>
      </c>
      <c r="O10" s="41">
        <f>K3*M3+K6*M6+K9*M9+M12*K12</f>
        <v>23460</v>
      </c>
      <c r="P10" s="41">
        <f>M3*L3+M6*L6+M9*L9+M12*L12</f>
        <v>12075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>
        <v>28000.0</v>
      </c>
      <c r="M16" s="52">
        <f>K16*L16</f>
        <v>5600</v>
      </c>
      <c r="N16" s="50"/>
      <c r="O16" s="1"/>
      <c r="P16" s="54">
        <f>SUM(N10:P10)+M16</f>
        <v>61835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782</v>
      </c>
      <c r="R17" s="20">
        <f>M3*H3+M6*H6+M9*H9+(N16/2)</f>
        <v>7820</v>
      </c>
      <c r="S17" s="55">
        <f>M3*F4+F7*M6+F10*M9</f>
        <v>690</v>
      </c>
      <c r="T17" s="57">
        <f>M3*H4+H7*M6+H11*M9+(N16/2)</f>
        <v>6900</v>
      </c>
      <c r="U17" s="9">
        <f>M3*F5+F8*M6+F11*M9</f>
        <v>391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230</v>
      </c>
      <c r="N18" s="1"/>
      <c r="O18" s="1" t="s">
        <v>79</v>
      </c>
      <c r="P18" s="19">
        <f>SUM(N10:P10)</f>
        <v>56235</v>
      </c>
      <c r="Q18" s="5" t="s">
        <v>80</v>
      </c>
      <c r="R18" s="20">
        <f>R17*0.1</f>
        <v>782</v>
      </c>
      <c r="S18" s="55"/>
      <c r="T18" s="57">
        <f>T17*0.1</f>
        <v>690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244.5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16192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/>
      <c r="J22" s="72">
        <v>0.25</v>
      </c>
      <c r="K22" s="52">
        <f>I22*J22</f>
        <v>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0</v>
      </c>
      <c r="L27" s="72"/>
      <c r="M27" s="75">
        <f>0.09*I22</f>
        <v>0</v>
      </c>
      <c r="N27" s="72"/>
      <c r="O27" s="76" t="s">
        <v>97</v>
      </c>
      <c r="P27" s="77">
        <f>N10/P19</f>
        <v>84.66257669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0</v>
      </c>
      <c r="L28" s="72"/>
      <c r="M28" s="75">
        <f>0.12*I22</f>
        <v>0</v>
      </c>
      <c r="N28" s="72"/>
      <c r="O28" s="76" t="s">
        <v>99</v>
      </c>
      <c r="P28" s="77">
        <f>O10/P19</f>
        <v>95.95092025</v>
      </c>
      <c r="Q28" s="1"/>
      <c r="R28" s="1"/>
      <c r="S28" s="70" t="s">
        <v>89</v>
      </c>
      <c r="T28" s="73">
        <f>P17-T21</f>
        <v>-16192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0</v>
      </c>
      <c r="L29" s="72"/>
      <c r="M29" s="75">
        <f>0.06*I22</f>
        <v>0</v>
      </c>
      <c r="N29" s="72"/>
      <c r="O29" s="76" t="s">
        <v>49</v>
      </c>
      <c r="P29" s="77">
        <f>P10/P19</f>
        <v>49.38650307</v>
      </c>
      <c r="Q29" s="1"/>
      <c r="R29" s="1"/>
      <c r="S29" s="1" t="s">
        <v>90</v>
      </c>
      <c r="T29" s="19">
        <f>P17-T21-Q22</f>
        <v>-16192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 t="str">
        <f>K31/I22</f>
        <v>#DIV/0!</v>
      </c>
      <c r="M30" s="75">
        <f>0.04*I22</f>
        <v>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0</v>
      </c>
      <c r="L31" s="72"/>
      <c r="M31" s="78">
        <f>SUM(M27:M30)</f>
        <v>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 t="str">
        <f>P19/I22</f>
        <v>#DIV/0!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110.0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110.0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19800</v>
      </c>
      <c r="O10" s="41">
        <f>K3*M3+K6*M6+K9*M9+M12*K12</f>
        <v>22440</v>
      </c>
      <c r="P10" s="41">
        <f>M3*L3+M6*L6+M9*L9+M12*L12</f>
        <v>11550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>
        <v>28000.0</v>
      </c>
      <c r="M16" s="52">
        <f>K16*L16</f>
        <v>5600</v>
      </c>
      <c r="N16" s="50"/>
      <c r="O16" s="1"/>
      <c r="P16" s="54">
        <f>SUM(N10:P10)+M16</f>
        <v>59390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748</v>
      </c>
      <c r="R17" s="20">
        <f>M3*H3+M6*H6+M9*H9+(N16/2)</f>
        <v>7480</v>
      </c>
      <c r="S17" s="55">
        <f>M3*F4+F7*M6+F10*M9</f>
        <v>660</v>
      </c>
      <c r="T17" s="57">
        <f>M3*H4+H7*M6+H11*M9+(N16/2)</f>
        <v>6600</v>
      </c>
      <c r="U17" s="9">
        <f>M3*F5+F8*M6+F11*M9</f>
        <v>374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v>220.0</v>
      </c>
      <c r="N18" s="1"/>
      <c r="O18" s="1" t="s">
        <v>79</v>
      </c>
      <c r="P18" s="19">
        <f>SUM(N10:P10)</f>
        <v>53790</v>
      </c>
      <c r="Q18" s="5" t="s">
        <v>80</v>
      </c>
      <c r="R18" s="20">
        <f>R17*0.1</f>
        <v>748</v>
      </c>
      <c r="S18" s="55"/>
      <c r="T18" s="57">
        <f>T17*0.1</f>
        <v>660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244.5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15488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>
        <v>236000.0</v>
      </c>
      <c r="J22" s="72">
        <v>0.25</v>
      </c>
      <c r="K22" s="52">
        <f>I22*J22</f>
        <v>59000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23600</v>
      </c>
      <c r="L27" s="72"/>
      <c r="M27" s="75">
        <f>0.09*I22</f>
        <v>21240</v>
      </c>
      <c r="N27" s="72"/>
      <c r="O27" s="76" t="s">
        <v>97</v>
      </c>
      <c r="P27" s="77">
        <f>N10/P19</f>
        <v>80.98159509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33040</v>
      </c>
      <c r="L28" s="72"/>
      <c r="M28" s="75">
        <f>0.12*I22</f>
        <v>28320</v>
      </c>
      <c r="N28" s="72"/>
      <c r="O28" s="76" t="s">
        <v>99</v>
      </c>
      <c r="P28" s="77">
        <f>O10/P19</f>
        <v>91.7791411</v>
      </c>
      <c r="Q28" s="1"/>
      <c r="R28" s="1"/>
      <c r="S28" s="70" t="s">
        <v>89</v>
      </c>
      <c r="T28" s="73">
        <f>P17-T21</f>
        <v>-15488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14160</v>
      </c>
      <c r="L29" s="72"/>
      <c r="M29" s="75">
        <f>0.06*I22</f>
        <v>14160</v>
      </c>
      <c r="N29" s="72"/>
      <c r="O29" s="76" t="s">
        <v>49</v>
      </c>
      <c r="P29" s="77">
        <f>P10/P19</f>
        <v>47.2392638</v>
      </c>
      <c r="Q29" s="1"/>
      <c r="R29" s="1"/>
      <c r="S29" s="1" t="s">
        <v>90</v>
      </c>
      <c r="T29" s="19">
        <f>P17-T21-Q22</f>
        <v>-15488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9440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70800</v>
      </c>
      <c r="L31" s="72"/>
      <c r="M31" s="78">
        <f>SUM(M27:M30)</f>
        <v>73160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>
        <f>P19/I22</f>
        <v>0.001036016949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109.0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14388</v>
      </c>
      <c r="O10" s="41">
        <f>K3*M3+K6*M6+K9*M9+M12*K12</f>
        <v>11772</v>
      </c>
      <c r="P10" s="41">
        <f>M3*L3+M6*L6+M9*L9+M12*L12</f>
        <v>5995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33155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392.4</v>
      </c>
      <c r="R17" s="20">
        <f>M3*H3+M6*H6+M9*H9+(N16/2)</f>
        <v>4024</v>
      </c>
      <c r="S17" s="55">
        <f>M3*F4+F7*M6+F10*M9</f>
        <v>479.6</v>
      </c>
      <c r="T17" s="57">
        <f>M3*H4+H7*M6+H11*M9+(N16/2)</f>
        <v>4896</v>
      </c>
      <c r="U17" s="9">
        <f>M3*F5+F8*M6+F11*M9</f>
        <v>196.2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109</v>
      </c>
      <c r="N18" s="1"/>
      <c r="O18" s="1" t="s">
        <v>79</v>
      </c>
      <c r="P18" s="19">
        <f>SUM(N10:P10)</f>
        <v>32155</v>
      </c>
      <c r="Q18" s="5" t="s">
        <v>80</v>
      </c>
      <c r="R18" s="20">
        <f>R17*0.1</f>
        <v>402.4</v>
      </c>
      <c r="S18" s="55"/>
      <c r="T18" s="57">
        <f>T17*0.1</f>
        <v>489.6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295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2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9812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81">
        <v>114000.0</v>
      </c>
      <c r="J22" s="72">
        <v>0.25</v>
      </c>
      <c r="K22" s="52">
        <f>I22*J22</f>
        <v>28500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>K22/K21</f>
        <v>2375</v>
      </c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131</v>
      </c>
      <c r="K25" s="1"/>
      <c r="L25" s="1"/>
      <c r="M25" s="3"/>
      <c r="N25" s="1"/>
      <c r="O25" s="62"/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/>
      <c r="J27" s="72" t="s">
        <v>26</v>
      </c>
      <c r="K27" s="72">
        <f>I22*0.1</f>
        <v>11400</v>
      </c>
      <c r="L27" s="72"/>
      <c r="M27" s="75">
        <f>0.09*I22</f>
        <v>10260</v>
      </c>
      <c r="N27" s="72">
        <f>M27*N32</f>
        <v>12150</v>
      </c>
      <c r="O27" s="76">
        <f>N27*P31</f>
        <v>31200</v>
      </c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/>
      <c r="J28" s="72" t="s">
        <v>25</v>
      </c>
      <c r="K28" s="72">
        <f>I22*0.09</f>
        <v>10260</v>
      </c>
      <c r="L28" s="72"/>
      <c r="M28" s="75">
        <f>0.07*I22</f>
        <v>7980</v>
      </c>
      <c r="N28" s="72">
        <f>M28*N32</f>
        <v>9450</v>
      </c>
      <c r="O28" s="76">
        <f>N28*P31</f>
        <v>24266.66667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/>
      <c r="J29" s="72" t="s">
        <v>101</v>
      </c>
      <c r="K29" s="72">
        <f>I22*0.05</f>
        <v>5700</v>
      </c>
      <c r="L29" s="72"/>
      <c r="M29" s="75">
        <f>0.05*I22</f>
        <v>5700</v>
      </c>
      <c r="N29" s="72">
        <f>M29*N32</f>
        <v>6750</v>
      </c>
      <c r="O29" s="76">
        <f>N29*P31</f>
        <v>17333.33333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>
        <f>K31/I22</f>
        <v>0.24</v>
      </c>
      <c r="M30" s="75">
        <f>0.03*I22</f>
        <v>3420</v>
      </c>
      <c r="N30" s="72">
        <f>M30*N32</f>
        <v>4050</v>
      </c>
      <c r="O30" s="19">
        <f>N30*P31</f>
        <v>10400</v>
      </c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27360</v>
      </c>
      <c r="L31" s="72"/>
      <c r="M31" s="78">
        <f t="shared" ref="M31:N31" si="4">SUM(M27:M30)</f>
        <v>27360</v>
      </c>
      <c r="N31" s="72">
        <f t="shared" si="4"/>
        <v>32400</v>
      </c>
      <c r="O31" s="1">
        <v>83200.0</v>
      </c>
      <c r="P31" s="19">
        <f>O31/N31</f>
        <v>2.567901235</v>
      </c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>
        <f>32400/M31</f>
        <v>1.184210526</v>
      </c>
      <c r="O32" s="19">
        <f>SUM(O27:O30)</f>
        <v>83200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70" t="s">
        <v>89</v>
      </c>
      <c r="Q35" s="73">
        <f>P17-T21</f>
        <v>-9812</v>
      </c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>
        <f>P19/I22</f>
        <v>0.002587719298</v>
      </c>
      <c r="M36" s="62"/>
      <c r="N36" s="62"/>
      <c r="O36" s="62"/>
      <c r="P36" s="1" t="s">
        <v>90</v>
      </c>
      <c r="Q36" s="19">
        <f>P17-T21-Q22</f>
        <v>-9812</v>
      </c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 t="s">
        <v>104</v>
      </c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62" t="s">
        <v>105</v>
      </c>
      <c r="Q41" s="76">
        <f>25000-N18</f>
        <v>25000</v>
      </c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62" t="s">
        <v>106</v>
      </c>
      <c r="Q42" s="76" t="str">
        <f>Q41/M20</f>
        <v>#DIV/0!</v>
      </c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62"/>
      <c r="Q43" s="62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62" t="s">
        <v>111</v>
      </c>
      <c r="Q44" s="76">
        <f>27000-N18</f>
        <v>27000</v>
      </c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62" t="s">
        <v>113</v>
      </c>
      <c r="Q45" s="76" t="str">
        <f>Q44/M20</f>
        <v>#DIV/0!</v>
      </c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109.0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14388</v>
      </c>
      <c r="O10" s="41">
        <f>K3*M3+K6*M6+K9*M9+M12*K12</f>
        <v>11772</v>
      </c>
      <c r="P10" s="41">
        <f>M3*L3+M6*L6+M9*L9+M12*L12</f>
        <v>5995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33155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392.4</v>
      </c>
      <c r="R17" s="20">
        <f>M3*H3+M6*H6+M9*H9+(N16/2)</f>
        <v>4024</v>
      </c>
      <c r="S17" s="55">
        <f>M3*F4+F7*M6+F10*M9</f>
        <v>479.6</v>
      </c>
      <c r="T17" s="57">
        <f>M3*H4+H7*M6+H11*M9+(N16/2)</f>
        <v>4896</v>
      </c>
      <c r="U17" s="9">
        <f>M3*F5+F8*M6+F11*M9</f>
        <v>196.2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109</v>
      </c>
      <c r="N18" s="1"/>
      <c r="O18" s="1" t="s">
        <v>79</v>
      </c>
      <c r="P18" s="19">
        <f>SUM(N10:P10)</f>
        <v>32155</v>
      </c>
      <c r="Q18" s="5" t="s">
        <v>80</v>
      </c>
      <c r="R18" s="20">
        <f>R17*0.1</f>
        <v>402.4</v>
      </c>
      <c r="S18" s="55"/>
      <c r="T18" s="57">
        <f>T17*0.1</f>
        <v>489.6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295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2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9812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81">
        <v>240000.0</v>
      </c>
      <c r="J22" s="72">
        <v>0.25</v>
      </c>
      <c r="K22" s="52">
        <f>I22*J22</f>
        <v>60000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>
        <f>K22/K21</f>
        <v>5000</v>
      </c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131</v>
      </c>
      <c r="K25" s="1"/>
      <c r="L25" s="1"/>
      <c r="M25" s="3"/>
      <c r="N25" s="1"/>
      <c r="O25" s="62"/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/>
      <c r="J27" s="72" t="s">
        <v>26</v>
      </c>
      <c r="K27" s="72">
        <f>I22*0.1</f>
        <v>24000</v>
      </c>
      <c r="L27" s="72"/>
      <c r="M27" s="75">
        <f>0.09*I22</f>
        <v>21600</v>
      </c>
      <c r="N27" s="72">
        <f>M27*N32</f>
        <v>22500</v>
      </c>
      <c r="O27" s="76">
        <f>N27*P31</f>
        <v>31200</v>
      </c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/>
      <c r="J28" s="72" t="s">
        <v>25</v>
      </c>
      <c r="K28" s="72">
        <f>I22*0.09</f>
        <v>21600</v>
      </c>
      <c r="L28" s="72"/>
      <c r="M28" s="75">
        <f>0.07*I22</f>
        <v>16800</v>
      </c>
      <c r="N28" s="72">
        <f>M28*N32</f>
        <v>17500</v>
      </c>
      <c r="O28" s="76">
        <f>N28*P31</f>
        <v>24266.66667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/>
      <c r="J29" s="72" t="s">
        <v>101</v>
      </c>
      <c r="K29" s="72">
        <f>I22*0.05</f>
        <v>12000</v>
      </c>
      <c r="L29" s="72"/>
      <c r="M29" s="75">
        <f>0.05*I22</f>
        <v>12000</v>
      </c>
      <c r="N29" s="72">
        <f>M29*N32</f>
        <v>12500</v>
      </c>
      <c r="O29" s="76">
        <f>N29*P31</f>
        <v>17333.33333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>
        <f>K31/I22</f>
        <v>0.24</v>
      </c>
      <c r="M30" s="75">
        <f>0.03*I22</f>
        <v>7200</v>
      </c>
      <c r="N30" s="72">
        <f>M30*N32</f>
        <v>7500</v>
      </c>
      <c r="O30" s="19">
        <f>N30*P31</f>
        <v>10400</v>
      </c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57600</v>
      </c>
      <c r="L31" s="72"/>
      <c r="M31" s="78">
        <f>SUM(M27:M30)</f>
        <v>57600</v>
      </c>
      <c r="N31" s="72">
        <v>60000.0</v>
      </c>
      <c r="O31" s="1">
        <v>83200.0</v>
      </c>
      <c r="P31" s="19">
        <f>O31/N31</f>
        <v>1.386666667</v>
      </c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>
        <f>60000/M31</f>
        <v>1.041666667</v>
      </c>
      <c r="O32" s="19">
        <f>SUM(O27:O30)</f>
        <v>83200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70" t="s">
        <v>89</v>
      </c>
      <c r="Q35" s="73">
        <f>P17-T21</f>
        <v>-9812</v>
      </c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>
        <f>P19/I22</f>
        <v>0.001229166667</v>
      </c>
      <c r="M36" s="62"/>
      <c r="N36" s="62"/>
      <c r="O36" s="62"/>
      <c r="P36" s="1" t="s">
        <v>90</v>
      </c>
      <c r="Q36" s="19">
        <f>P17-T21-Q22</f>
        <v>-9812</v>
      </c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 t="s">
        <v>104</v>
      </c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62" t="s">
        <v>105</v>
      </c>
      <c r="Q41" s="76">
        <f>25000-N18</f>
        <v>25000</v>
      </c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62" t="s">
        <v>106</v>
      </c>
      <c r="Q42" s="76" t="str">
        <f>Q41/M20</f>
        <v>#DIV/0!</v>
      </c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62"/>
      <c r="Q43" s="62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62" t="s">
        <v>111</v>
      </c>
      <c r="Q44" s="76">
        <f>27000-N18</f>
        <v>27000</v>
      </c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62" t="s">
        <v>113</v>
      </c>
      <c r="Q45" s="76" t="str">
        <f>Q44/M20</f>
        <v>#DIV/0!</v>
      </c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90.0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10800</v>
      </c>
      <c r="O10" s="41">
        <f>K3*M3+K6*M6+K9*M9+M12*K12</f>
        <v>8640</v>
      </c>
      <c r="P10" s="41">
        <f>M3*L3+M6*L6+M9*L9+M12*L12</f>
        <v>4500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24940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288</v>
      </c>
      <c r="R17" s="20">
        <f>M3*H3+M6*H6+M9*H9+(N16/2)</f>
        <v>2980</v>
      </c>
      <c r="S17" s="55">
        <f>M3*F4+F7*M6+F10*M9</f>
        <v>360</v>
      </c>
      <c r="T17" s="57">
        <f>M3*H4+H7*M6+H11*M9+(N16/2)</f>
        <v>3700</v>
      </c>
      <c r="U17" s="9">
        <f>M3*F5+F8*M6+F11*M9</f>
        <v>144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90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298</v>
      </c>
      <c r="S18" s="55"/>
      <c r="T18" s="57">
        <f>T17*0.1</f>
        <v>370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7348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-7348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-7348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/>
      <c r="O31" s="1"/>
      <c r="P31" s="1"/>
      <c r="Q31" s="19"/>
      <c r="R31" s="1"/>
      <c r="S31" s="1"/>
      <c r="T31" s="1"/>
      <c r="U31" s="1"/>
      <c r="V31" s="1"/>
    </row>
  </sheetData>
  <mergeCells count="11">
    <mergeCell ref="M9:M11"/>
    <mergeCell ref="L9:L11"/>
    <mergeCell ref="S15:T15"/>
    <mergeCell ref="Q15:R15"/>
    <mergeCell ref="U15:V15"/>
    <mergeCell ref="L3:L5"/>
    <mergeCell ref="M3:M5"/>
    <mergeCell ref="L6:L8"/>
    <mergeCell ref="M6:M8"/>
    <mergeCell ref="M12:M14"/>
    <mergeCell ref="L12:L14"/>
  </mergeCell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225.0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55.0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34260</v>
      </c>
      <c r="O10" s="41">
        <f>K3*M3+K6*M6+K9*M9+M12*K12</f>
        <v>27540</v>
      </c>
      <c r="P10" s="41">
        <f>M3*L3+M6*L6+M9*L9+M12*L12</f>
        <v>14275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77075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918</v>
      </c>
      <c r="R17" s="20">
        <f>M3*H3+M6*H6+M9*H9+(N16/2)</f>
        <v>9280</v>
      </c>
      <c r="S17" s="55">
        <f>M3*F4+F7*M6+F10*M9</f>
        <v>1142</v>
      </c>
      <c r="T17" s="57">
        <f>M3*H4+H7*M6+H11*M9+(N16/2)</f>
        <v>11520</v>
      </c>
      <c r="U17" s="9">
        <f>M3*F5+F8*M6+F11*M9</f>
        <v>459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280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928</v>
      </c>
      <c r="S18" s="55"/>
      <c r="T18" s="57">
        <f>T17*0.1</f>
        <v>1152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22880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-22880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-22880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/>
      <c r="O31" s="1"/>
      <c r="P31" s="1"/>
      <c r="Q31" s="19"/>
      <c r="R31" s="1"/>
      <c r="S31" s="1"/>
      <c r="T31" s="1"/>
      <c r="U31" s="1"/>
      <c r="V31" s="1"/>
    </row>
  </sheetData>
  <mergeCells count="11">
    <mergeCell ref="M6:M8"/>
    <mergeCell ref="M3:M5"/>
    <mergeCell ref="L3:L5"/>
    <mergeCell ref="L6:L8"/>
    <mergeCell ref="M12:M14"/>
    <mergeCell ref="Q15:R15"/>
    <mergeCell ref="S15:T15"/>
    <mergeCell ref="U15:V15"/>
    <mergeCell ref="M9:M11"/>
    <mergeCell ref="L9:L11"/>
    <mergeCell ref="L12:L14"/>
  </mergeCell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228.0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103.0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40956</v>
      </c>
      <c r="O10" s="41">
        <f>K3*M3+K6*M6+K9*M9+M12*K12</f>
        <v>33012</v>
      </c>
      <c r="P10" s="41">
        <f>M3*L3+M6*L6+M9*L9+M12*L12</f>
        <v>17065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92033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1100.4</v>
      </c>
      <c r="R17" s="20">
        <f>M3*H3+M6*H6+M9*H9+(N16/2)</f>
        <v>11104</v>
      </c>
      <c r="S17" s="55">
        <f>M3*F4+F7*M6+F10*M9</f>
        <v>1365.2</v>
      </c>
      <c r="T17" s="57">
        <f>M3*H4+H7*M6+H11*M9+(N16/2)</f>
        <v>13752</v>
      </c>
      <c r="U17" s="9">
        <f>M3*F5+F8*M6+F11*M9</f>
        <v>550.2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331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1110.4</v>
      </c>
      <c r="S18" s="55"/>
      <c r="T18" s="57">
        <f>T17*0.1</f>
        <v>1375.2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27341.6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 t="s">
        <v>83</v>
      </c>
      <c r="K22" s="62"/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81">
        <v>266282.0</v>
      </c>
      <c r="K23" s="72">
        <v>0.25</v>
      </c>
      <c r="L23" s="52">
        <f>J23*K23</f>
        <v>66570.5</v>
      </c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62"/>
      <c r="O24" s="62"/>
      <c r="P24" s="70" t="s">
        <v>89</v>
      </c>
      <c r="Q24" s="73">
        <f>P17-T21</f>
        <v>-27341.6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/>
      <c r="K25" s="62"/>
      <c r="L25" s="62"/>
      <c r="M25" s="62"/>
      <c r="N25" s="62"/>
      <c r="O25" s="62"/>
      <c r="P25" s="1" t="s">
        <v>90</v>
      </c>
      <c r="Q25" s="19">
        <f>P17-T21-Q22</f>
        <v>-27341.6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26</v>
      </c>
      <c r="K26" s="62">
        <f>J23*0.1</f>
        <v>26628.2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25</v>
      </c>
      <c r="K27" s="62">
        <f>J23*0.09</f>
        <v>23965.38</v>
      </c>
      <c r="L27" s="62"/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 t="s">
        <v>101</v>
      </c>
      <c r="K28" s="62">
        <f>J23*0.05</f>
        <v>13314.1</v>
      </c>
      <c r="L28" s="62"/>
      <c r="M28" s="62"/>
      <c r="N28" s="62"/>
      <c r="O28" s="62"/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 t="s">
        <v>103</v>
      </c>
      <c r="K29" s="82">
        <f>SUM(K26:K28)</f>
        <v>63907.68</v>
      </c>
      <c r="L29" s="62">
        <f>K29/J23</f>
        <v>0.24</v>
      </c>
      <c r="M29" s="62"/>
      <c r="N29" s="62"/>
      <c r="O29" s="62"/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 t="s">
        <v>105</v>
      </c>
      <c r="O30" s="76">
        <f>25000-N18</f>
        <v>25000</v>
      </c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106</v>
      </c>
      <c r="O31" s="76" t="str">
        <f>O30/M20</f>
        <v>#DIV/0!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/>
      <c r="O32" s="62"/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 t="s">
        <v>111</v>
      </c>
      <c r="O33" s="76">
        <f>27000-N18</f>
        <v>27000</v>
      </c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 t="s">
        <v>113</v>
      </c>
      <c r="O34" s="76" t="str">
        <f>O33/M20</f>
        <v>#DIV/0!</v>
      </c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/>
      <c r="K35" s="62"/>
      <c r="L35" s="62"/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/>
      <c r="L36" s="62"/>
      <c r="M36" s="62"/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107</v>
      </c>
      <c r="K37" s="62"/>
      <c r="L37" s="76">
        <f>P19/J23</f>
        <v>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 t="s">
        <v>108</v>
      </c>
      <c r="L38" s="62" t="s">
        <v>109</v>
      </c>
      <c r="M38" s="62" t="s">
        <v>110</v>
      </c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 t="s">
        <v>112</v>
      </c>
      <c r="K39" s="62">
        <v>603.0</v>
      </c>
      <c r="L39" s="62">
        <v>630.0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505.0</v>
      </c>
      <c r="L40" s="62">
        <v>621.0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721.0</v>
      </c>
      <c r="L41" s="62">
        <v>611.0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568.0</v>
      </c>
      <c r="L42" s="62">
        <v>608.0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v>590.0</v>
      </c>
      <c r="L43" s="62">
        <v>541.0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/>
      <c r="L44" s="62">
        <v>591.0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SUM(K39:K43)</f>
        <v>2987</v>
      </c>
      <c r="L45" s="62">
        <f>3*SUM(L39:L44)</f>
        <v>10806</v>
      </c>
      <c r="M45" s="62"/>
      <c r="N45" s="62"/>
      <c r="O45" s="62"/>
      <c r="P45" s="1"/>
      <c r="Q45" s="1"/>
      <c r="R45" s="1"/>
      <c r="S45" s="1"/>
      <c r="T45" s="1"/>
      <c r="U45" s="1"/>
      <c r="V45" s="1"/>
    </row>
    <row r="46" ht="15.0" customHeight="1">
      <c r="A46" s="1"/>
      <c r="B46" s="1"/>
      <c r="C46" s="1"/>
      <c r="D46" s="1"/>
      <c r="E46" s="1"/>
      <c r="F46" s="1"/>
      <c r="G46" s="1"/>
      <c r="H46" s="1"/>
      <c r="I46" s="1"/>
      <c r="J46" s="62"/>
      <c r="K46" s="62">
        <f>SUM(K45:M45)</f>
        <v>13793</v>
      </c>
      <c r="L46" s="62"/>
      <c r="M46" s="62"/>
      <c r="N46" s="1"/>
      <c r="O46" s="1"/>
      <c r="P46" s="1"/>
      <c r="Q46" s="1"/>
      <c r="R46" s="1"/>
      <c r="S46" s="1"/>
      <c r="T46" s="1"/>
      <c r="U46" s="1"/>
      <c r="V46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2A1C7"/>
  </sheetPr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23.0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v>79.0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>
        <v>6.0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11460</v>
      </c>
      <c r="O10" s="41">
        <f>M3*K4+M6*K7+M9*K10+M12*K13</f>
        <v>14052</v>
      </c>
      <c r="P10" s="41">
        <f>M3*L3+M6*L6+M9*L9+M12*L12</f>
        <v>5855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31367</v>
      </c>
      <c r="Q17" s="5">
        <f>M3*F3+M6*F6+M9*F9</f>
        <v>382</v>
      </c>
      <c r="R17" s="20">
        <f>M3*H3+M6*H6+M9*H9+(N16/2)</f>
        <v>3820</v>
      </c>
      <c r="S17" s="55">
        <f>M3*F4+F7*M6+F10*M9</f>
        <v>468.4</v>
      </c>
      <c r="T17" s="57">
        <f>M3*H4+H7*M6+H11*M9+(N16/2)</f>
        <v>4516</v>
      </c>
      <c r="U17" s="9">
        <f>M3*F5+F8*M6+F11*M9</f>
        <v>191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108</v>
      </c>
      <c r="N18" s="1"/>
      <c r="O18" s="1" t="s">
        <v>79</v>
      </c>
      <c r="P18" s="19">
        <f>SUM(N10:O10)</f>
        <v>25512</v>
      </c>
      <c r="Q18" s="5" t="s">
        <v>80</v>
      </c>
      <c r="R18" s="20">
        <f>R17*0.1</f>
        <v>382</v>
      </c>
      <c r="S18" s="55"/>
      <c r="T18" s="57">
        <f>T17*0.1</f>
        <v>451.6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236.2222222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81600.0</v>
      </c>
      <c r="K21" s="1">
        <v>0.25</v>
      </c>
      <c r="L21" s="65">
        <f>J21*K21</f>
        <v>20400</v>
      </c>
      <c r="M21" s="3"/>
      <c r="N21" s="64"/>
      <c r="P21" s="19"/>
      <c r="Q21" s="67">
        <v>0.08</v>
      </c>
      <c r="R21" s="1"/>
      <c r="S21" s="1"/>
      <c r="T21" s="19">
        <f>SUM(R17:R18)+SUM(T17:T18)</f>
        <v>9169.6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2509.36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22197.4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19688.04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231.4814815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250</v>
      </c>
      <c r="Q32" s="1"/>
      <c r="R32" s="1"/>
      <c r="S32" s="1"/>
      <c r="T32" s="1"/>
      <c r="U32" s="1"/>
      <c r="V32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17.0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18.0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4416</v>
      </c>
      <c r="O10" s="41">
        <f>K3*M3+K6*M6+K9*M9+M12*K12</f>
        <v>3576</v>
      </c>
      <c r="P10" s="41">
        <f>M3*L3+M6*L6+M9*L9+M12*L12</f>
        <v>1840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10832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119.2</v>
      </c>
      <c r="R17" s="20">
        <f>M3*H3+M6*H6+M9*H9+(N16/2)</f>
        <v>1292</v>
      </c>
      <c r="S17" s="55">
        <f>M3*F4+F7*M6+F10*M9</f>
        <v>147.2</v>
      </c>
      <c r="T17" s="57">
        <f>M3*H4+H7*M6+H11*M9+(N16/2)</f>
        <v>1572</v>
      </c>
      <c r="U17" s="9">
        <f>M3*F5+F8*M6+F11*M9</f>
        <v>59.6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35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129.2</v>
      </c>
      <c r="S18" s="55"/>
      <c r="T18" s="57">
        <f>T17*0.1</f>
        <v>157.2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3150.4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-3150.4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-3150.4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/>
      <c r="O31" s="1"/>
      <c r="P31" s="1"/>
      <c r="Q31" s="19"/>
      <c r="R31" s="1"/>
      <c r="S31" s="1"/>
      <c r="T31" s="1"/>
      <c r="U31" s="1"/>
      <c r="V31" s="1"/>
    </row>
  </sheetData>
  <mergeCells count="11">
    <mergeCell ref="M6:M8"/>
    <mergeCell ref="M3:M5"/>
    <mergeCell ref="L3:L5"/>
    <mergeCell ref="L6:L8"/>
    <mergeCell ref="M12:M14"/>
    <mergeCell ref="Q15:R15"/>
    <mergeCell ref="S15:T15"/>
    <mergeCell ref="U15:V15"/>
    <mergeCell ref="M9:M11"/>
    <mergeCell ref="L9:L11"/>
    <mergeCell ref="L12:L14"/>
  </mergeCell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194.0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84.0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34368</v>
      </c>
      <c r="O10" s="41">
        <f>K3*M3+K6*M6+K9*M9+M12*K12</f>
        <v>27696</v>
      </c>
      <c r="P10" s="41">
        <f>M3*L3+M6*L6+M9*L9+M12*L12</f>
        <v>14320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77384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923.2</v>
      </c>
      <c r="R17" s="20">
        <f>M3*H3+M6*H6+M9*H9+(N16/2)</f>
        <v>9332</v>
      </c>
      <c r="S17" s="55">
        <f>M3*F4+F7*M6+F10*M9</f>
        <v>1145.6</v>
      </c>
      <c r="T17" s="57">
        <f>M3*H4+H7*M6+H11*M9+(N16/2)</f>
        <v>11556</v>
      </c>
      <c r="U17" s="9">
        <f>M3*F5+F8*M6+F11*M9</f>
        <v>461.6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278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933.2</v>
      </c>
      <c r="S18" s="55"/>
      <c r="T18" s="57">
        <f>T17*0.1</f>
        <v>1155.6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281055.0</v>
      </c>
      <c r="K21" s="72">
        <v>0.25</v>
      </c>
      <c r="L21" s="52">
        <f>J21*K21</f>
        <v>70263.75</v>
      </c>
      <c r="M21" s="62"/>
      <c r="N21" s="74"/>
      <c r="P21" s="19"/>
      <c r="Q21" s="67">
        <v>0.08</v>
      </c>
      <c r="R21" s="1"/>
      <c r="S21" s="1"/>
      <c r="T21" s="19">
        <f>SUM(R17:R18)+SUM(T17:T18)</f>
        <v>22976.8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28105.5</v>
      </c>
      <c r="L24" s="62"/>
      <c r="M24" s="62"/>
      <c r="N24" s="62"/>
      <c r="O24" s="62"/>
      <c r="P24" s="70" t="s">
        <v>89</v>
      </c>
      <c r="Q24" s="73">
        <f>P17-T21</f>
        <v>-22976.8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25294.95</v>
      </c>
      <c r="L25" s="62"/>
      <c r="M25" s="62"/>
      <c r="N25" s="62"/>
      <c r="O25" s="62"/>
      <c r="P25" s="1" t="s">
        <v>90</v>
      </c>
      <c r="Q25" s="19">
        <f>P17-T21-Q22</f>
        <v>-22976.8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14052.75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67453.2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24800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89.20863309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26800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96.4028777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126.0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16440</v>
      </c>
      <c r="O10" s="41">
        <f>K3*M3+K6*M6+K9*M9+M12*K12</f>
        <v>13176</v>
      </c>
      <c r="P10" s="41">
        <f>M3*L3+M6*L6+M9*L9+M12*L12</f>
        <v>6850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37466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439.2</v>
      </c>
      <c r="R17" s="20">
        <f>M3*H3+M6*H6+M9*H9+(N16/2)</f>
        <v>4492</v>
      </c>
      <c r="S17" s="55">
        <f>M3*F4+F7*M6+F10*M9</f>
        <v>548</v>
      </c>
      <c r="T17" s="57">
        <f>M3*H4+H7*M6+H11*M9+(N16/2)</f>
        <v>5580</v>
      </c>
      <c r="U17" s="9">
        <f>M3*F5+F8*M6+F11*M9</f>
        <v>219.6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136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449.2</v>
      </c>
      <c r="S18" s="55"/>
      <c r="T18" s="57">
        <f>T17*0.1</f>
        <v>558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100620.0</v>
      </c>
      <c r="K21" s="72">
        <v>0.25</v>
      </c>
      <c r="L21" s="52">
        <f>J21*K21</f>
        <v>25155</v>
      </c>
      <c r="M21" s="62"/>
      <c r="N21" s="74"/>
      <c r="P21" s="19"/>
      <c r="Q21" s="67">
        <v>0.08</v>
      </c>
      <c r="R21" s="1"/>
      <c r="S21" s="1"/>
      <c r="T21" s="19">
        <f>SUM(R17:R18)+SUM(T17:T18)</f>
        <v>11079.2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10062</v>
      </c>
      <c r="L24" s="62"/>
      <c r="M24" s="62"/>
      <c r="N24" s="62"/>
      <c r="O24" s="62"/>
      <c r="P24" s="70" t="s">
        <v>89</v>
      </c>
      <c r="Q24" s="73">
        <f>P17-T21</f>
        <v>-11079.2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9055.8</v>
      </c>
      <c r="L25" s="62"/>
      <c r="M25" s="62"/>
      <c r="N25" s="62"/>
      <c r="O25" s="62"/>
      <c r="P25" s="1" t="s">
        <v>90</v>
      </c>
      <c r="Q25" s="19">
        <f>P17-T21-Q22</f>
        <v>-11079.2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5031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24148.8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24800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182.3529412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26800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197.0588235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141.0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73.0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26556</v>
      </c>
      <c r="O10" s="41">
        <f>K3*M3+K6*M6+K9*M9+M12*K12</f>
        <v>21420</v>
      </c>
      <c r="P10" s="41">
        <f>M3*L3+M6*L6+M9*L9+M12*L12</f>
        <v>11065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5000.0</v>
      </c>
      <c r="M16" s="52">
        <f>K16*L16</f>
        <v>1000</v>
      </c>
      <c r="N16" s="50">
        <f>M16*K16</f>
        <v>200</v>
      </c>
      <c r="O16" s="1"/>
      <c r="P16" s="54">
        <f>SUM(N10:P10)+M16</f>
        <v>60041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714</v>
      </c>
      <c r="R17" s="20">
        <f>M3*H3+M6*H6+M9*H9+(N16/2)</f>
        <v>7240</v>
      </c>
      <c r="S17" s="55">
        <f>M3*F4+F7*M6+F10*M9</f>
        <v>885.2</v>
      </c>
      <c r="T17" s="57">
        <f>M3*H4+H7*M6+H11*M9+(N16/2)</f>
        <v>8952</v>
      </c>
      <c r="U17" s="9">
        <f>M3*F5+F8*M6+F11*M9</f>
        <v>357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214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724</v>
      </c>
      <c r="S18" s="55"/>
      <c r="T18" s="57">
        <f>T17*0.1</f>
        <v>895.2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330596.0</v>
      </c>
      <c r="K21" s="72">
        <v>0.25</v>
      </c>
      <c r="L21" s="52">
        <f>J21*K21</f>
        <v>82649</v>
      </c>
      <c r="M21" s="62"/>
      <c r="N21" s="74"/>
      <c r="P21" s="19"/>
      <c r="Q21" s="67">
        <v>0.08</v>
      </c>
      <c r="R21" s="1"/>
      <c r="S21" s="1"/>
      <c r="T21" s="19">
        <f>SUM(R17:R18)+SUM(T17:T18)</f>
        <v>17811.2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33059.6</v>
      </c>
      <c r="L24" s="62"/>
      <c r="M24" s="62"/>
      <c r="N24" s="62"/>
      <c r="O24" s="62"/>
      <c r="P24" s="70" t="s">
        <v>89</v>
      </c>
      <c r="Q24" s="73">
        <f>P17-T21</f>
        <v>-17811.2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29753.64</v>
      </c>
      <c r="L25" s="62"/>
      <c r="M25" s="62"/>
      <c r="N25" s="62"/>
      <c r="O25" s="62"/>
      <c r="P25" s="1" t="s">
        <v>90</v>
      </c>
      <c r="Q25" s="19">
        <f>P17-T21-Q22</f>
        <v>-17811.2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16529.8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79343.04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24800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115.8878505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26800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125.2336449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f>50+54</f>
        <v>104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46.0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18552</v>
      </c>
      <c r="O10" s="41">
        <f>K3*M3+K6*M6+K9*M9+M12*K12</f>
        <v>14952</v>
      </c>
      <c r="P10" s="41">
        <f>M3*L3+M6*L6+M9*L9+M12*L12</f>
        <v>7730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24000.0</v>
      </c>
      <c r="M16" s="52">
        <f>K16*L16</f>
        <v>4800</v>
      </c>
      <c r="N16" s="50">
        <f>M16*K16</f>
        <v>960</v>
      </c>
      <c r="O16" s="1"/>
      <c r="P16" s="54">
        <f>SUM(N10:P10)+M16</f>
        <v>46034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498.4</v>
      </c>
      <c r="R17" s="20">
        <f>M3*H3+M6*H6+M9*H9+(N16/2)</f>
        <v>5464</v>
      </c>
      <c r="S17" s="55">
        <f>M3*F4+F7*M6+F10*M9</f>
        <v>618.4</v>
      </c>
      <c r="T17" s="57">
        <f>M3*H4+H7*M6+H11*M9+(N16/2)</f>
        <v>6664</v>
      </c>
      <c r="U17" s="9">
        <f>M3*F5+F8*M6+F11*M9</f>
        <v>249.2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150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546.4</v>
      </c>
      <c r="S18" s="55"/>
      <c r="T18" s="57">
        <f>T17*0.1</f>
        <v>666.4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330596.0</v>
      </c>
      <c r="K21" s="72">
        <v>0.25</v>
      </c>
      <c r="L21" s="52">
        <f>J21*K21</f>
        <v>82649</v>
      </c>
      <c r="M21" s="62"/>
      <c r="N21" s="74"/>
      <c r="P21" s="19"/>
      <c r="Q21" s="67">
        <v>0.08</v>
      </c>
      <c r="R21" s="1"/>
      <c r="S21" s="1"/>
      <c r="T21" s="19">
        <f>SUM(R17:R18)+SUM(T17:T18)</f>
        <v>13340.8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33059.6</v>
      </c>
      <c r="L24" s="62"/>
      <c r="M24" s="62"/>
      <c r="N24" s="62"/>
      <c r="O24" s="62"/>
      <c r="P24" s="70" t="s">
        <v>89</v>
      </c>
      <c r="Q24" s="73">
        <f>P17-T21</f>
        <v>-13340.8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29753.64</v>
      </c>
      <c r="L25" s="62"/>
      <c r="M25" s="62"/>
      <c r="N25" s="62"/>
      <c r="O25" s="62"/>
      <c r="P25" s="1" t="s">
        <v>90</v>
      </c>
      <c r="Q25" s="19">
        <f>P17-T21-Q22</f>
        <v>-13340.8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16529.8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79343.04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24040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160.2666667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26040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173.6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12.33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34.0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v>54.0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>
        <v>18.0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11256</v>
      </c>
      <c r="O10" s="41">
        <f>M3*K4+M6*K7+M9*K10+M12*K13</f>
        <v>13800</v>
      </c>
      <c r="P10" s="41">
        <f>M3*L3+M6*L6+M9*L9+M12*L12</f>
        <v>5750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>
        <f>21910+1736</f>
        <v>23646</v>
      </c>
      <c r="N16" s="50">
        <f>M16*K16</f>
        <v>4729.2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</f>
        <v>29785.2</v>
      </c>
      <c r="Q17" s="5">
        <f>M3*F3+M6*F6+M9*F9</f>
        <v>375.2</v>
      </c>
      <c r="R17" s="20">
        <f>M3*H3+M6*H6+M9*H9+(N16/2)</f>
        <v>6116.6</v>
      </c>
      <c r="S17" s="55">
        <f>M3*F4+F7*M6+F10*M9</f>
        <v>460</v>
      </c>
      <c r="T17" s="57">
        <f>M3*H4+H7*M6+H11*M9+(N16/2)</f>
        <v>6460.6</v>
      </c>
      <c r="U17" s="9">
        <f>M3*F5+F8*M6+F11*M9</f>
        <v>187.6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106</v>
      </c>
      <c r="N18" s="1"/>
      <c r="O18" s="1" t="s">
        <v>79</v>
      </c>
      <c r="P18" s="19">
        <f>SUM(N10:O10)</f>
        <v>25056</v>
      </c>
      <c r="Q18" s="5" t="s">
        <v>80</v>
      </c>
      <c r="R18" s="20">
        <f>R17*0.1</f>
        <v>611.66</v>
      </c>
      <c r="S18" s="55"/>
      <c r="T18" s="57">
        <f>T17*0.1</f>
        <v>646.06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236.3773585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141127.0</v>
      </c>
      <c r="K21" s="1">
        <v>0.1</v>
      </c>
      <c r="L21" s="65">
        <f>J21*K21</f>
        <v>14112.7</v>
      </c>
      <c r="M21" s="3"/>
      <c r="N21" s="64"/>
      <c r="P21" s="19"/>
      <c r="Q21" s="67">
        <v>0.08</v>
      </c>
      <c r="R21" s="1"/>
      <c r="S21" s="1"/>
      <c r="T21" s="19">
        <f>SUM(R17:R18)+SUM(T17:T18)</f>
        <v>13834.92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9">
        <f>P31/J21</f>
        <v>0.1913170407</v>
      </c>
      <c r="L22" s="1"/>
      <c r="M22" s="3"/>
      <c r="N22" s="1"/>
      <c r="O22" s="1"/>
      <c r="P22" s="1"/>
      <c r="Q22" s="19">
        <f>P17*Q21</f>
        <v>2382.816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9">
        <f>P10/J21</f>
        <v>0.04074344385</v>
      </c>
      <c r="L24" s="1"/>
      <c r="M24" s="3"/>
      <c r="N24" s="1"/>
      <c r="O24" s="1"/>
      <c r="P24" s="70" t="s">
        <v>89</v>
      </c>
      <c r="Q24" s="73">
        <f>P17-T21</f>
        <v>15950.28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13567.464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0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132</v>
      </c>
      <c r="O31" s="1"/>
      <c r="P31" s="19">
        <v>27000.0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254.7169811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hidden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12.33"/>
    <col customWidth="1" min="15" max="15" width="14.11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24.0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v>24.0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4896</v>
      </c>
      <c r="O10" s="41">
        <f>M3*K4+M6*K7+M9*K10+M12*K13</f>
        <v>6048</v>
      </c>
      <c r="P10" s="41">
        <f>M3*L3+M6*L6+M9*L9+M12*L12</f>
        <v>2520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>
        <f t="shared" ref="N11:P11" si="4">1500+N10</f>
        <v>6396</v>
      </c>
      <c r="O11" s="42">
        <f t="shared" si="4"/>
        <v>7548</v>
      </c>
      <c r="P11" s="42">
        <f t="shared" si="4"/>
        <v>4020</v>
      </c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>
        <v>10000.0</v>
      </c>
      <c r="N16" s="50">
        <f>M16*K16</f>
        <v>2000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15464</v>
      </c>
      <c r="Q17" s="5">
        <f>M3*F3+M6*F6+M9*F9</f>
        <v>163.2</v>
      </c>
      <c r="R17" s="20">
        <f>M3*H3+M6*H6+M9*H9+(N16/2)</f>
        <v>2632</v>
      </c>
      <c r="S17" s="55">
        <f>M3*F4+F7*M6+F10*M9</f>
        <v>201.6</v>
      </c>
      <c r="T17" s="57">
        <f>M3*H4+H7*M6+H11*M9+(N16/2)</f>
        <v>3016</v>
      </c>
      <c r="U17" s="9">
        <f>M3*F5+F8*M6+F11*M9</f>
        <v>81.6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48</v>
      </c>
      <c r="N18" s="1"/>
      <c r="O18" s="1" t="s">
        <v>79</v>
      </c>
      <c r="P18" s="19">
        <f>SUM(N10:O10)</f>
        <v>10944</v>
      </c>
      <c r="Q18" s="5" t="s">
        <v>80</v>
      </c>
      <c r="R18" s="20">
        <f>R17*0.1</f>
        <v>263.2</v>
      </c>
      <c r="S18" s="55"/>
      <c r="T18" s="57">
        <f>T17*0.1</f>
        <v>301.6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228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/>
      <c r="K21" s="1">
        <v>0.25</v>
      </c>
      <c r="L21" s="65">
        <f>J21*K21</f>
        <v>0</v>
      </c>
      <c r="M21" s="3"/>
      <c r="N21" s="64"/>
      <c r="P21" s="19"/>
      <c r="Q21" s="67">
        <v>0.08</v>
      </c>
      <c r="R21" s="1"/>
      <c r="S21" s="1"/>
      <c r="T21" s="19">
        <f>SUM(R17:R18)+SUM(T17:T18)+SUM(V17:V18)</f>
        <v>9501.8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1237.12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5962.2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4725.08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0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0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/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v>106.0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11448</v>
      </c>
      <c r="O10" s="41">
        <f>M3*K4+M6*K7+M9*K10+M12*K13</f>
        <v>13992</v>
      </c>
      <c r="P10" s="41">
        <f>M3*L3+M6*L6+M9*L9+M12*L12</f>
        <v>5830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</f>
        <v>25440</v>
      </c>
      <c r="Q17" s="5">
        <f>M3*F3+M6*F6+M9*F9</f>
        <v>381.6</v>
      </c>
      <c r="R17" s="20">
        <f>M3*H3+M6*H6+M9*H9+(N16/2)</f>
        <v>3816</v>
      </c>
      <c r="S17" s="55">
        <f>M3*F4+F7*M6+F10*M9</f>
        <v>466.4</v>
      </c>
      <c r="T17" s="57">
        <f>M3*H4+H7*M6+H11*M9+(N16/2)</f>
        <v>4664</v>
      </c>
      <c r="U17" s="9">
        <f>M3*F5+F8*M6+F11*M9</f>
        <v>190.8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106</v>
      </c>
      <c r="N18" s="1"/>
      <c r="O18" s="1" t="s">
        <v>79</v>
      </c>
      <c r="P18" s="19">
        <f>SUM(N10:O10)</f>
        <v>25440</v>
      </c>
      <c r="Q18" s="5" t="s">
        <v>80</v>
      </c>
      <c r="R18" s="20">
        <f>R17*0.1</f>
        <v>381.6</v>
      </c>
      <c r="S18" s="55"/>
      <c r="T18" s="57">
        <f>T17*0.1</f>
        <v>466.4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240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141127.0</v>
      </c>
      <c r="K21" s="1">
        <v>0.25</v>
      </c>
      <c r="L21" s="65">
        <f>J21*K21</f>
        <v>35281.75</v>
      </c>
      <c r="M21" s="3"/>
      <c r="N21" s="64"/>
      <c r="P21" s="19"/>
      <c r="Q21" s="67">
        <v>0.08</v>
      </c>
      <c r="R21" s="1"/>
      <c r="S21" s="1"/>
      <c r="T21" s="19">
        <f>SUM(R17:R18)+SUM(T17:T18)</f>
        <v>9328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2035.2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16112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14076.8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235.8490566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254.7169811</v>
      </c>
      <c r="Q32" s="1"/>
      <c r="R32" s="1"/>
      <c r="S32" s="1"/>
      <c r="T32" s="1"/>
      <c r="U32" s="1"/>
      <c r="V32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119.0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v>42.0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>
        <v>14.0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17640</v>
      </c>
      <c r="O10" s="41">
        <f>M3*K4+M6*K7+M9*K10+M12*K13</f>
        <v>21840</v>
      </c>
      <c r="P10" s="41">
        <f>M3*L3+M6*L6+M9*L9+M12*L12</f>
        <v>9100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</f>
        <v>39480</v>
      </c>
      <c r="Q17" s="5">
        <f>M3*F3+M6*F6+M9*F9</f>
        <v>588</v>
      </c>
      <c r="R17" s="20">
        <f>M3*H3+M6*H6+M9*H9+(N16/2)</f>
        <v>5880</v>
      </c>
      <c r="S17" s="55">
        <f>M3*F4+F7*M6+F10*M9</f>
        <v>728</v>
      </c>
      <c r="T17" s="57">
        <f>M3*H4+H7*M6+H11*M9+(N16/2)</f>
        <v>6888</v>
      </c>
      <c r="U17" s="9">
        <f>M3*F5+F8*M6+F11*M9</f>
        <v>294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175</v>
      </c>
      <c r="N18" s="1"/>
      <c r="O18" s="1" t="s">
        <v>79</v>
      </c>
      <c r="P18" s="19">
        <f>SUM(N10:O10)</f>
        <v>39480</v>
      </c>
      <c r="Q18" s="5" t="s">
        <v>80</v>
      </c>
      <c r="R18" s="20">
        <f>R17*0.1</f>
        <v>588</v>
      </c>
      <c r="S18" s="55"/>
      <c r="T18" s="57">
        <f>T17*0.1</f>
        <v>688.8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225.6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141127.0</v>
      </c>
      <c r="K21" s="1">
        <v>0.25</v>
      </c>
      <c r="L21" s="65">
        <f>J21*K21</f>
        <v>35281.75</v>
      </c>
      <c r="M21" s="3"/>
      <c r="N21" s="64"/>
      <c r="P21" s="19"/>
      <c r="Q21" s="67">
        <v>0.08</v>
      </c>
      <c r="R21" s="1"/>
      <c r="S21" s="1"/>
      <c r="T21" s="19">
        <f>SUM(R17:R18)+SUM(T17:T18)</f>
        <v>14044.8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3158.4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25435.2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22276.8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142.8571429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154.2857143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109.0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10464</v>
      </c>
      <c r="O10" s="41">
        <f>M3*K4+M6*K7+M9*K10+M12*K13</f>
        <v>13080</v>
      </c>
      <c r="P10" s="41">
        <f>M3*L3+M6*L6+M9*L9+M12*L12</f>
        <v>5450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28994</v>
      </c>
      <c r="Q17" s="5">
        <f>M3*F3+M6*F6+M9*F9</f>
        <v>348.8</v>
      </c>
      <c r="R17" s="20">
        <f>M3*H3+M6*H6+M9*H9+(N16/2)</f>
        <v>3488</v>
      </c>
      <c r="S17" s="55">
        <f>M3*F4+F7*M6+F10*M9</f>
        <v>436</v>
      </c>
      <c r="T17" s="57">
        <f>M3*H4+H7*M6+H11*M9+(N16/2)</f>
        <v>4360</v>
      </c>
      <c r="U17" s="9">
        <f>M3*F5+F8*M6+F11*M9</f>
        <v>174.4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109</v>
      </c>
      <c r="N18" s="1"/>
      <c r="O18" s="1" t="s">
        <v>79</v>
      </c>
      <c r="P18" s="19">
        <f>SUM(N10:O10)</f>
        <v>23544</v>
      </c>
      <c r="Q18" s="5" t="s">
        <v>80</v>
      </c>
      <c r="R18" s="20">
        <f>R17*0.1</f>
        <v>348.8</v>
      </c>
      <c r="S18" s="55"/>
      <c r="T18" s="57">
        <f>T17*0.1</f>
        <v>436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216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81600.0</v>
      </c>
      <c r="K21" s="1">
        <v>0.25</v>
      </c>
      <c r="L21" s="65">
        <f>J21*K21</f>
        <v>20400</v>
      </c>
      <c r="M21" s="3"/>
      <c r="N21" s="64"/>
      <c r="P21" s="19"/>
      <c r="Q21" s="67">
        <v>0.08</v>
      </c>
      <c r="R21" s="1"/>
      <c r="S21" s="1"/>
      <c r="T21" s="19">
        <f>SUM(R17:R18)+SUM(T17:T18)</f>
        <v>8632.8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2319.52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20361.2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18041.68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229.3577982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247.706422</v>
      </c>
      <c r="Q32" s="1"/>
      <c r="R32" s="1"/>
      <c r="S32" s="1"/>
      <c r="T32" s="1"/>
      <c r="U32" s="1"/>
      <c r="V32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DE9D9"/>
  </sheetPr>
  <sheetViews>
    <sheetView workbookViewId="0"/>
  </sheetViews>
  <sheetFormatPr customHeight="1" defaultColWidth="13.44" defaultRowHeight="15.75"/>
  <sheetData>
    <row r="1">
      <c r="A1" s="2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</row>
    <row r="2">
      <c r="H2" s="2">
        <v>6.0</v>
      </c>
      <c r="I2" s="4">
        <v>9.94</v>
      </c>
      <c r="J2" s="2">
        <f>I2*H2</f>
        <v>59.64</v>
      </c>
      <c r="K2" s="8">
        <f>J2*0.062</f>
        <v>3.69768</v>
      </c>
      <c r="L2" s="8">
        <f>J2*0.0145</f>
        <v>0.86478</v>
      </c>
      <c r="M2" s="8">
        <f>sum(K2:L2)</f>
        <v>4.56246</v>
      </c>
      <c r="N2" s="8">
        <f>J2-M2</f>
        <v>55.07754</v>
      </c>
    </row>
    <row r="3">
      <c r="I3" s="2"/>
    </row>
    <row r="5">
      <c r="A5" s="2" t="s">
        <v>30</v>
      </c>
    </row>
    <row r="6">
      <c r="A6" s="2" t="s">
        <v>32</v>
      </c>
    </row>
    <row r="7">
      <c r="A7" s="2" t="s">
        <v>33</v>
      </c>
    </row>
    <row r="8">
      <c r="A8" s="2" t="s">
        <v>34</v>
      </c>
    </row>
    <row r="9">
      <c r="A9" s="2" t="s">
        <v>35</v>
      </c>
    </row>
    <row r="10">
      <c r="A10" s="2" t="s">
        <v>36</v>
      </c>
    </row>
    <row r="13">
      <c r="H13" s="4">
        <v>9.94</v>
      </c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f>40+15+5+10+84+20+5+35+3+5</f>
        <v>222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>
        <f>5+30+5+5+10+5</f>
        <v>60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27792</v>
      </c>
      <c r="O10" s="41">
        <f>M3*K4+M6*K7+M9*K10+M12*K13</f>
        <v>34560</v>
      </c>
      <c r="P10" s="41">
        <f>M3*L3+M6*L6+M9*L9+M12*L12</f>
        <v>14400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>
        <f>16799</f>
        <v>16799</v>
      </c>
      <c r="N16" s="50">
        <f>M16*K16</f>
        <v>3359.8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80111.8</v>
      </c>
      <c r="Q17" s="5">
        <f>M3*F3+M6*F6+M9*F9</f>
        <v>926.4</v>
      </c>
      <c r="R17" s="20">
        <f>M3*H3+M6*H6+M9*H9+(N16/2)</f>
        <v>10943.9</v>
      </c>
      <c r="S17" s="55">
        <f>M3*F4+F7*M6+F10*M9</f>
        <v>1152</v>
      </c>
      <c r="T17" s="57">
        <f>M3*H4+H7*M6+H11*M9+(N16/2)</f>
        <v>13199.9</v>
      </c>
      <c r="U17" s="9">
        <f>M3*F5+F8*M6+F11*M9</f>
        <v>463.2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282</v>
      </c>
      <c r="N18" s="1"/>
      <c r="O18" s="1" t="s">
        <v>79</v>
      </c>
      <c r="P18" s="19">
        <f>SUM(N10:O10)</f>
        <v>62352</v>
      </c>
      <c r="Q18" s="5" t="s">
        <v>80</v>
      </c>
      <c r="R18" s="20">
        <f>R17*0.1</f>
        <v>1094.39</v>
      </c>
      <c r="S18" s="55"/>
      <c r="T18" s="57">
        <f>T17*0.1</f>
        <v>1319.99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221.106383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236638.0</v>
      </c>
      <c r="K21" s="1">
        <v>0.25</v>
      </c>
      <c r="L21" s="65">
        <f>J21*K21</f>
        <v>59159.5</v>
      </c>
      <c r="M21" s="3"/>
      <c r="N21" s="64"/>
      <c r="P21" s="19"/>
      <c r="Q21" s="67">
        <v>0.08</v>
      </c>
      <c r="R21" s="1"/>
      <c r="S21" s="1"/>
      <c r="T21" s="19">
        <f>SUM(R17:R18)+SUM(T17:T18)</f>
        <v>26558.18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  <c r="O22" s="1"/>
      <c r="P22" s="1"/>
      <c r="Q22" s="19">
        <f>P17*Q21</f>
        <v>6408.944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 t="s">
        <v>107</v>
      </c>
      <c r="J23" s="1"/>
      <c r="K23" s="19">
        <f>J21/P17</f>
        <v>2.953846999</v>
      </c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1"/>
      <c r="O24" s="1"/>
      <c r="P24" s="70" t="s">
        <v>89</v>
      </c>
      <c r="Q24" s="73">
        <f>P17-T21</f>
        <v>53553.62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1"/>
      <c r="O25" s="1"/>
      <c r="P25" s="1" t="s">
        <v>90</v>
      </c>
      <c r="Q25" s="19">
        <f>P17-T21-Q22</f>
        <v>47144.676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21640.2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76.73829787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23640.2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83.83049645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25.0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2400</v>
      </c>
      <c r="O10" s="41">
        <f>M3*K4+M6*K7+M9*K10+M12*K13</f>
        <v>3000</v>
      </c>
      <c r="P10" s="41">
        <f>M3*L3+M6*L6+M9*L9+M12*L12</f>
        <v>1250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6650</v>
      </c>
      <c r="Q17" s="5">
        <f>M3*F3+M6*F6+M9*F9</f>
        <v>80</v>
      </c>
      <c r="R17" s="20">
        <f>M3*H3+M6*H6+M9*H9+(N16/2)</f>
        <v>800</v>
      </c>
      <c r="S17" s="55">
        <f>M3*F4+F7*M6+F10*M9</f>
        <v>100</v>
      </c>
      <c r="T17" s="57">
        <f>M3*H4+H7*M6+H11*M9+(N16/2)</f>
        <v>1000</v>
      </c>
      <c r="U17" s="9">
        <f>M3*F5+F8*M6+F11*M9</f>
        <v>40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f>M3+M6+M9</f>
        <v>25</v>
      </c>
      <c r="N18" s="1"/>
      <c r="O18" s="1" t="s">
        <v>79</v>
      </c>
      <c r="P18" s="19">
        <f>SUM(N10:P10)</f>
        <v>6650</v>
      </c>
      <c r="Q18" s="5" t="s">
        <v>80</v>
      </c>
      <c r="R18" s="20">
        <f>R17*0.1</f>
        <v>80</v>
      </c>
      <c r="S18" s="55"/>
      <c r="T18" s="57">
        <f>T17*0.1</f>
        <v>100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266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21500.0</v>
      </c>
      <c r="K21" s="1">
        <v>0.25</v>
      </c>
      <c r="L21" s="65">
        <f>J21*K21</f>
        <v>5375</v>
      </c>
      <c r="M21" s="3"/>
      <c r="N21" s="64"/>
      <c r="P21" s="19"/>
      <c r="Q21" s="67">
        <v>0.08</v>
      </c>
      <c r="R21" s="1"/>
      <c r="S21" s="1"/>
      <c r="T21" s="19">
        <f>SUM(R17:R18)+SUM(T17:T18)</f>
        <v>1980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 t="s">
        <v>107</v>
      </c>
      <c r="K22" s="1"/>
      <c r="L22" s="19">
        <f>P17/J21</f>
        <v>0.3093023256</v>
      </c>
      <c r="M22" s="3"/>
      <c r="N22" s="1"/>
      <c r="O22" s="1"/>
      <c r="P22" s="1"/>
      <c r="Q22" s="19">
        <f>P17*Q21</f>
        <v>532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108</v>
      </c>
      <c r="L23" s="1" t="s">
        <v>133</v>
      </c>
      <c r="M23" s="3" t="s">
        <v>110</v>
      </c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 t="s">
        <v>112</v>
      </c>
      <c r="K24" s="1">
        <v>631.0</v>
      </c>
      <c r="L24" s="1">
        <v>631.0</v>
      </c>
      <c r="M24" s="3">
        <v>676.0</v>
      </c>
      <c r="N24" s="1"/>
      <c r="O24" s="1"/>
      <c r="P24" s="70" t="s">
        <v>89</v>
      </c>
      <c r="Q24" s="73">
        <f>P17-T21</f>
        <v>4670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v>879.0</v>
      </c>
      <c r="L25" s="1">
        <v>557.0</v>
      </c>
      <c r="M25" s="3">
        <v>622.0</v>
      </c>
      <c r="N25" s="1"/>
      <c r="O25" s="1"/>
      <c r="P25" s="1" t="s">
        <v>90</v>
      </c>
      <c r="Q25" s="19">
        <f>P17-T21-Q22</f>
        <v>4138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v>439.0</v>
      </c>
      <c r="L26" s="1">
        <v>439.0</v>
      </c>
      <c r="M26" s="3">
        <v>439.0</v>
      </c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v>741.0</v>
      </c>
      <c r="L27" s="1">
        <v>439.0</v>
      </c>
      <c r="M27" s="3">
        <v>436.0</v>
      </c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v>741.0</v>
      </c>
      <c r="L28" s="1">
        <v>741.0</v>
      </c>
      <c r="M28" s="3">
        <v>741.0</v>
      </c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>
        <f t="shared" ref="K29:L29" si="4">SUM(K24:K28)</f>
        <v>3431</v>
      </c>
      <c r="L29" s="1">
        <f t="shared" si="4"/>
        <v>2807</v>
      </c>
      <c r="M29" s="3">
        <f>3*SUM(M24:M28)</f>
        <v>8742</v>
      </c>
      <c r="N29" s="1"/>
      <c r="O29" s="1"/>
      <c r="P29" s="19">
        <f>P28/M18</f>
        <v>1000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>SUM(K29:M29)</f>
        <v>14980</v>
      </c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1080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23.0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2208</v>
      </c>
      <c r="O10" s="41">
        <f>M3*K4+M6*K7+M9*K10+M12*K13</f>
        <v>2760</v>
      </c>
      <c r="P10" s="41">
        <f>M3*L3+M6*L6+M9*L9+M12*L12</f>
        <v>1150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6118</v>
      </c>
      <c r="Q17" s="5">
        <f>M3*F3+M6*F6+M9*F9</f>
        <v>73.6</v>
      </c>
      <c r="R17" s="20">
        <f>M3*H3+M6*H6+M9*H9+(N16/2)</f>
        <v>736</v>
      </c>
      <c r="S17" s="55">
        <f>M3*F4+F7*M6+F10*M9</f>
        <v>92</v>
      </c>
      <c r="T17" s="57">
        <f>M3*H4+H7*M6+H11*M9+(N16/2)</f>
        <v>920</v>
      </c>
      <c r="U17" s="9">
        <f>M3*F5+F8*M6+F11*M9</f>
        <v>36.8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v>23.0</v>
      </c>
      <c r="N18" s="1"/>
      <c r="O18" s="1" t="s">
        <v>79</v>
      </c>
      <c r="P18" s="19">
        <f>SUM(N10:P10)</f>
        <v>6118</v>
      </c>
      <c r="Q18" s="5" t="s">
        <v>80</v>
      </c>
      <c r="R18" s="20">
        <f>R17*0.1</f>
        <v>73.6</v>
      </c>
      <c r="S18" s="55"/>
      <c r="T18" s="57">
        <f>T17*0.1</f>
        <v>92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266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17632.0</v>
      </c>
      <c r="K21" s="1">
        <v>0.25</v>
      </c>
      <c r="L21" s="65">
        <f>J21*K21</f>
        <v>4408</v>
      </c>
      <c r="M21" s="3"/>
      <c r="N21" s="64"/>
      <c r="P21" s="19"/>
      <c r="Q21" s="67">
        <v>0.08</v>
      </c>
      <c r="R21" s="1"/>
      <c r="S21" s="1"/>
      <c r="T21" s="19">
        <f>SUM(R17:R18)+SUM(T17:T18)</f>
        <v>1821.6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 t="s">
        <v>107</v>
      </c>
      <c r="K22" s="1"/>
      <c r="L22" s="19">
        <f>P17/J21</f>
        <v>0.3469827586</v>
      </c>
      <c r="M22" s="3"/>
      <c r="N22" s="1"/>
      <c r="O22" s="1"/>
      <c r="P22" s="1"/>
      <c r="Q22" s="19">
        <f>P17*Q21</f>
        <v>489.44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108</v>
      </c>
      <c r="L23" s="1" t="s">
        <v>109</v>
      </c>
      <c r="M23" s="3" t="s">
        <v>110</v>
      </c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 t="s">
        <v>112</v>
      </c>
      <c r="K24" s="1">
        <v>603.0</v>
      </c>
      <c r="L24" s="1">
        <v>630.0</v>
      </c>
      <c r="M24" s="3"/>
      <c r="N24" s="1"/>
      <c r="O24" s="1"/>
      <c r="P24" s="70" t="s">
        <v>89</v>
      </c>
      <c r="Q24" s="73">
        <f>P17-T21</f>
        <v>4296.4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v>505.0</v>
      </c>
      <c r="L25" s="1">
        <v>621.0</v>
      </c>
      <c r="M25" s="3"/>
      <c r="N25" s="1"/>
      <c r="O25" s="1"/>
      <c r="P25" s="1" t="s">
        <v>90</v>
      </c>
      <c r="Q25" s="19">
        <f>P17-T21-Q22</f>
        <v>3806.96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v>721.0</v>
      </c>
      <c r="L26" s="1">
        <v>611.0</v>
      </c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v>568.0</v>
      </c>
      <c r="L27" s="1">
        <v>608.0</v>
      </c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v>590.0</v>
      </c>
      <c r="L28" s="1">
        <v>541.0</v>
      </c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591.0</v>
      </c>
      <c r="M29" s="3"/>
      <c r="N29" s="1"/>
      <c r="O29" s="1"/>
      <c r="P29" s="19">
        <f>P28/M18</f>
        <v>1086.956522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>SUM(K24:K28)</f>
        <v>2987</v>
      </c>
      <c r="L30" s="1">
        <f>3*SUM(L24:L29)</f>
        <v>10806</v>
      </c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>SUM(K30:M30)</f>
        <v>13793</v>
      </c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1173.913043</v>
      </c>
      <c r="Q32" s="1"/>
      <c r="R32" s="1"/>
      <c r="S32" s="1"/>
      <c r="T32" s="1"/>
      <c r="U32" s="1"/>
      <c r="V32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5" width="12.33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25</v>
      </c>
      <c r="O1" s="3" t="s">
        <v>26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5" t="s">
        <v>25</v>
      </c>
      <c r="K2" s="7" t="s">
        <v>26</v>
      </c>
      <c r="L2" s="9" t="s">
        <v>29</v>
      </c>
      <c r="M2" s="10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20">
        <f>H3*3</f>
        <v>96</v>
      </c>
      <c r="K3" s="7"/>
      <c r="L3" s="21">
        <v>50.0</v>
      </c>
      <c r="M3" s="22">
        <v>23.0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5"/>
      <c r="K4" s="24">
        <f>H4*3</f>
        <v>120</v>
      </c>
      <c r="L4" s="26"/>
      <c r="M4" s="26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3"/>
      <c r="K5" s="34"/>
      <c r="L5" s="35"/>
      <c r="M5" s="35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0">
        <f>H6*3</f>
        <v>108</v>
      </c>
      <c r="K6" s="24"/>
      <c r="L6" s="37">
        <v>55.0</v>
      </c>
      <c r="M6" s="38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0"/>
      <c r="K7" s="24">
        <f>H7*3</f>
        <v>132</v>
      </c>
      <c r="L7" s="26"/>
      <c r="M7" s="26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9"/>
      <c r="K8" s="34"/>
      <c r="L8" s="35"/>
      <c r="M8" s="35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0">
        <f>H9*3</f>
        <v>120</v>
      </c>
      <c r="K9" s="24"/>
      <c r="L9" s="37">
        <v>60.0</v>
      </c>
      <c r="M9" s="38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0"/>
      <c r="K10" s="24">
        <f>H10*3</f>
        <v>144</v>
      </c>
      <c r="L10" s="26"/>
      <c r="M10" s="26"/>
      <c r="N10" s="41">
        <f>J3*M3+J6*M6+J9*M9+M12*J12</f>
        <v>2208</v>
      </c>
      <c r="O10" s="41">
        <f>M3*K4+M6*K7+M9*K10+M12*K13</f>
        <v>2760</v>
      </c>
      <c r="P10" s="41">
        <f>M3*L3+M6*L6+M9*L9+M12*L12</f>
        <v>1150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9"/>
      <c r="K11" s="34"/>
      <c r="L11" s="35"/>
      <c r="M11" s="35"/>
      <c r="N11" s="42"/>
      <c r="O11" s="42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0">
        <f>H12*3</f>
        <v>132</v>
      </c>
      <c r="K12" s="24"/>
      <c r="L12" s="43">
        <v>65.0</v>
      </c>
      <c r="M12" s="38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0"/>
      <c r="K13" s="24">
        <f>H13*3</f>
        <v>156</v>
      </c>
      <c r="L13" s="26"/>
      <c r="M13" s="26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9"/>
      <c r="K14" s="34"/>
      <c r="L14" s="35"/>
      <c r="M14" s="35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51"/>
      <c r="N16" s="50">
        <f>M16*K16</f>
        <v>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0"/>
      <c r="N17" s="1"/>
      <c r="O17" s="1"/>
      <c r="P17" s="56">
        <f>N10+N16+O10+P10</f>
        <v>6118</v>
      </c>
      <c r="Q17" s="5">
        <f>M3*F3+M6*F6+M9*F9</f>
        <v>73.6</v>
      </c>
      <c r="R17" s="20">
        <f>M3*H3+M6*H6+M9*H9+(N16/2)</f>
        <v>736</v>
      </c>
      <c r="S17" s="55">
        <f>M3*F4+F7*M6+F10*M9</f>
        <v>92</v>
      </c>
      <c r="T17" s="57">
        <f>M3*H4+H7*M6+H11*M9+(N16/2)</f>
        <v>920</v>
      </c>
      <c r="U17" s="9">
        <f>M3*F5+F8*M6+F11*M9</f>
        <v>36.8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10">
        <v>23.0</v>
      </c>
      <c r="N18" s="1"/>
      <c r="O18" s="1" t="s">
        <v>79</v>
      </c>
      <c r="P18" s="19">
        <f>SUM(N10:P10)</f>
        <v>6118</v>
      </c>
      <c r="Q18" s="5" t="s">
        <v>80</v>
      </c>
      <c r="R18" s="20">
        <f>R17*0.1</f>
        <v>73.6</v>
      </c>
      <c r="S18" s="55"/>
      <c r="T18" s="57">
        <f>T17*0.1</f>
        <v>92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0"/>
      <c r="N19" s="1"/>
      <c r="O19" s="1" t="s">
        <v>81</v>
      </c>
      <c r="P19" s="19">
        <f>P18/M18</f>
        <v>266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6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61"/>
      <c r="H21" s="1"/>
      <c r="I21" s="1"/>
      <c r="J21" s="61">
        <v>116280.0</v>
      </c>
      <c r="K21" s="1">
        <v>0.25</v>
      </c>
      <c r="L21" s="65">
        <f>J21*K21</f>
        <v>29070</v>
      </c>
      <c r="M21" s="3"/>
      <c r="N21" s="64"/>
      <c r="P21" s="19"/>
      <c r="Q21" s="67">
        <v>0.08</v>
      </c>
      <c r="R21" s="1"/>
      <c r="S21" s="1"/>
      <c r="T21" s="19">
        <f>SUM(R17:R18)+SUM(T17:T18)</f>
        <v>1821.6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 t="s">
        <v>107</v>
      </c>
      <c r="K22" s="1"/>
      <c r="L22" s="19">
        <f>P17/J21</f>
        <v>0.05261437908</v>
      </c>
      <c r="M22" s="3"/>
      <c r="N22" s="1"/>
      <c r="O22" s="1"/>
      <c r="P22" s="1"/>
      <c r="Q22" s="19">
        <f>P17*Q21</f>
        <v>489.44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108</v>
      </c>
      <c r="L23" s="1" t="s">
        <v>109</v>
      </c>
      <c r="M23" s="3" t="s">
        <v>110</v>
      </c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 t="s">
        <v>112</v>
      </c>
      <c r="K24" s="1">
        <v>603.0</v>
      </c>
      <c r="L24" s="1">
        <v>630.0</v>
      </c>
      <c r="M24" s="3"/>
      <c r="N24" s="1"/>
      <c r="O24" s="1"/>
      <c r="P24" s="70" t="s">
        <v>89</v>
      </c>
      <c r="Q24" s="73">
        <f>P17-T21</f>
        <v>4296.4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>
        <v>505.0</v>
      </c>
      <c r="L25" s="1">
        <v>621.0</v>
      </c>
      <c r="M25" s="3"/>
      <c r="N25" s="1"/>
      <c r="O25" s="1"/>
      <c r="P25" s="1" t="s">
        <v>90</v>
      </c>
      <c r="Q25" s="19">
        <f>P17-T21-Q22</f>
        <v>3806.96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>
        <v>721.0</v>
      </c>
      <c r="L26" s="1">
        <v>611.0</v>
      </c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>
        <v>568.0</v>
      </c>
      <c r="L27" s="1">
        <v>608.0</v>
      </c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>
        <v>590.0</v>
      </c>
      <c r="L28" s="1">
        <v>541.0</v>
      </c>
      <c r="M28" s="3"/>
      <c r="N28" s="1" t="s">
        <v>91</v>
      </c>
      <c r="O28" s="1"/>
      <c r="P28" s="19">
        <f>25000-N16</f>
        <v>25000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591.0</v>
      </c>
      <c r="M29" s="3"/>
      <c r="N29" s="1"/>
      <c r="O29" s="1"/>
      <c r="P29" s="19">
        <f>P28/M18</f>
        <v>1086.956522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>
        <f>SUM(K24:K28)</f>
        <v>2987</v>
      </c>
      <c r="L30" s="1">
        <f>3*SUM(L24:L29)</f>
        <v>10806</v>
      </c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>
        <f>SUM(K30:M30)</f>
        <v>13793</v>
      </c>
      <c r="L31" s="1"/>
      <c r="M31" s="3"/>
      <c r="N31" s="1" t="s">
        <v>96</v>
      </c>
      <c r="O31" s="1"/>
      <c r="P31" s="19">
        <f>27000-N16</f>
        <v>27000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1173.913043</v>
      </c>
      <c r="Q32" s="1"/>
      <c r="R32" s="1"/>
      <c r="S32" s="1"/>
      <c r="T32" s="1"/>
      <c r="U32" s="1"/>
      <c r="V32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12.33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0</v>
      </c>
      <c r="O10" s="41">
        <f>K3*M3+K6*M6+K9*M9+M12*K12</f>
        <v>0</v>
      </c>
      <c r="P10" s="41">
        <f>M3*L3+M6*L6+M9*L9+M12*L12</f>
        <v>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/>
      <c r="N16" s="50">
        <v>1000.0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>
        <f>O10+N16+N10+P10</f>
        <v>1000</v>
      </c>
      <c r="Q17" s="5">
        <f>M3*F3+M6*F6+M9*F9</f>
        <v>0</v>
      </c>
      <c r="R17" s="20">
        <f>M3*H3+M6*H6+M9*H9+(N16/2)</f>
        <v>500</v>
      </c>
      <c r="S17" s="55">
        <f>M3*F4+F7*M6+F10*M9</f>
        <v>0</v>
      </c>
      <c r="T17" s="57">
        <f>M3*H4+H7*M6+H11*M9+(N16/2)</f>
        <v>500</v>
      </c>
      <c r="U17" s="9">
        <f>M3*F5+F8*M6+F11*M9</f>
        <v>0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v>23.0</v>
      </c>
      <c r="N18" s="1"/>
      <c r="O18" s="1" t="s">
        <v>79</v>
      </c>
      <c r="P18" s="19">
        <f>SUM(N10:P10)</f>
        <v>0</v>
      </c>
      <c r="Q18" s="5" t="s">
        <v>80</v>
      </c>
      <c r="R18" s="20">
        <f>R17*0.1</f>
        <v>50</v>
      </c>
      <c r="S18" s="55"/>
      <c r="T18" s="57">
        <f>T17*0.1</f>
        <v>50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61">
        <v>32000.0</v>
      </c>
      <c r="K21" s="1">
        <v>0.09</v>
      </c>
      <c r="L21" s="65">
        <f>J21*K21</f>
        <v>2880</v>
      </c>
      <c r="M21" s="3"/>
      <c r="N21" s="64"/>
      <c r="P21" s="19"/>
      <c r="Q21" s="67">
        <v>0.08</v>
      </c>
      <c r="R21" s="1"/>
      <c r="S21" s="1"/>
      <c r="T21" s="19">
        <f>SUM(R17:R18)+SUM(T17:T18)</f>
        <v>1100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>J21*0.07</f>
        <v>2240</v>
      </c>
      <c r="L22" s="1"/>
      <c r="M22" s="3"/>
      <c r="N22" s="1"/>
      <c r="O22" s="1"/>
      <c r="P22" s="1"/>
      <c r="Q22" s="19">
        <f>P17*Q21</f>
        <v>80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 t="s">
        <v>26</v>
      </c>
      <c r="K24" s="1">
        <f>J21*0.1</f>
        <v>3200</v>
      </c>
      <c r="L24" s="1"/>
      <c r="M24" s="3"/>
      <c r="N24" s="1"/>
      <c r="O24" s="1"/>
      <c r="P24" s="70" t="s">
        <v>89</v>
      </c>
      <c r="Q24" s="73">
        <f>P17-T21</f>
        <v>-100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 t="s">
        <v>25</v>
      </c>
      <c r="K25" s="1">
        <f>J21*0.09</f>
        <v>2880</v>
      </c>
      <c r="L25" s="1"/>
      <c r="M25" s="3"/>
      <c r="N25" s="1"/>
      <c r="O25" s="1"/>
      <c r="P25" s="1" t="s">
        <v>90</v>
      </c>
      <c r="Q25" s="19">
        <f>P17-T21-Q22</f>
        <v>-180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 t="s">
        <v>101</v>
      </c>
      <c r="K26" s="1">
        <f>J21*0.05</f>
        <v>1600</v>
      </c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 t="s">
        <v>103</v>
      </c>
      <c r="K27" s="85">
        <f>SUM(K24:K26)</f>
        <v>7680</v>
      </c>
      <c r="L27" s="1">
        <f>K27/J21</f>
        <v>0.24</v>
      </c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24000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1043.478261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26000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1130.434783</v>
      </c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 t="s">
        <v>107</v>
      </c>
      <c r="K35" s="1"/>
      <c r="L35" s="19">
        <f>P17/J21</f>
        <v>0.03125</v>
      </c>
      <c r="M35" s="3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 t="s">
        <v>108</v>
      </c>
      <c r="L36" s="1" t="s">
        <v>109</v>
      </c>
      <c r="M36" s="3" t="s">
        <v>110</v>
      </c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 t="s">
        <v>112</v>
      </c>
      <c r="K37" s="1">
        <v>603.0</v>
      </c>
      <c r="L37" s="1">
        <v>630.0</v>
      </c>
      <c r="M37" s="3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v>505.0</v>
      </c>
      <c r="L38" s="1">
        <v>621.0</v>
      </c>
      <c r="M38" s="3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v>721.0</v>
      </c>
      <c r="L39" s="1">
        <v>611.0</v>
      </c>
      <c r="M39" s="3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v>568.0</v>
      </c>
      <c r="L40" s="1">
        <v>608.0</v>
      </c>
      <c r="M40" s="3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v>590.0</v>
      </c>
      <c r="L41" s="1">
        <v>541.0</v>
      </c>
      <c r="M41" s="3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591.0</v>
      </c>
      <c r="M42" s="3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>SUM(K37:K41)</f>
        <v>2987</v>
      </c>
      <c r="L43" s="1">
        <f>3*SUM(L37:L42)</f>
        <v>10806</v>
      </c>
      <c r="M43" s="3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>SUM(K43:M43)</f>
        <v>13793</v>
      </c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12.33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22.0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2904</v>
      </c>
      <c r="O10" s="41">
        <f>K3*M3+K6*M6+K9*M9+M12*K12</f>
        <v>2376</v>
      </c>
      <c r="P10" s="41">
        <f>M3*L3+M6*L6+M9*L9+M12*L12</f>
        <v>1210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/>
      <c r="N16" s="50">
        <v>1000.0</v>
      </c>
      <c r="O16" s="1"/>
      <c r="P16" s="53"/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>
        <f>N10</f>
        <v>2904</v>
      </c>
      <c r="Q17" s="5">
        <f>M3*F3+M6*F6+M9*F9</f>
        <v>79.2</v>
      </c>
      <c r="R17" s="20">
        <f>M3*H3+M6*H6+M9*H9+(N16/2)</f>
        <v>1292</v>
      </c>
      <c r="S17" s="55">
        <f>M3*F4+F7*M6+F10*M9</f>
        <v>96.8</v>
      </c>
      <c r="T17" s="57">
        <f>M3*H4+H7*M6+H11*M9+(N16/2)</f>
        <v>1468</v>
      </c>
      <c r="U17" s="9">
        <f>M3*F5+F8*M6+F11*M9</f>
        <v>39.6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v>22.0</v>
      </c>
      <c r="N18" s="1"/>
      <c r="O18" s="1" t="s">
        <v>79</v>
      </c>
      <c r="P18" s="19">
        <f>P17</f>
        <v>2904</v>
      </c>
      <c r="Q18" s="5" t="s">
        <v>80</v>
      </c>
      <c r="R18" s="20">
        <f>R17*0.1</f>
        <v>129.2</v>
      </c>
      <c r="S18" s="55"/>
      <c r="T18" s="57">
        <f>T17*0.1</f>
        <v>146.8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81</v>
      </c>
      <c r="P19" s="19">
        <f>P18/M18</f>
        <v>132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 t="s">
        <v>83</v>
      </c>
      <c r="K20" s="1"/>
      <c r="L20" s="1"/>
      <c r="M20" s="3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61">
        <v>32000.0</v>
      </c>
      <c r="K21" s="1">
        <v>0.09</v>
      </c>
      <c r="L21" s="65">
        <f>J21*K21</f>
        <v>2880</v>
      </c>
      <c r="M21" s="3"/>
      <c r="N21" s="64"/>
      <c r="P21" s="19"/>
      <c r="Q21" s="67">
        <v>0.08</v>
      </c>
      <c r="R21" s="1"/>
      <c r="S21" s="1"/>
      <c r="T21" s="19">
        <f>SUM(R17:R18)+SUM(T17:T18)</f>
        <v>3036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>
        <f>J21*0.07</f>
        <v>2240</v>
      </c>
      <c r="L22" s="1"/>
      <c r="M22" s="3"/>
      <c r="N22" s="1"/>
      <c r="O22" s="1"/>
      <c r="P22" s="1"/>
      <c r="Q22" s="19">
        <f>P17*Q21</f>
        <v>232.32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 t="s">
        <v>26</v>
      </c>
      <c r="K24" s="1">
        <f>J21*0.1</f>
        <v>3200</v>
      </c>
      <c r="L24" s="1"/>
      <c r="M24" s="3"/>
      <c r="N24" s="1"/>
      <c r="O24" s="1"/>
      <c r="P24" s="70" t="s">
        <v>89</v>
      </c>
      <c r="Q24" s="73">
        <f>P17-T21</f>
        <v>-132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 t="s">
        <v>25</v>
      </c>
      <c r="K25" s="1">
        <f>J21*0.09</f>
        <v>2880</v>
      </c>
      <c r="L25" s="1"/>
      <c r="M25" s="3"/>
      <c r="N25" s="1"/>
      <c r="O25" s="1"/>
      <c r="P25" s="1" t="s">
        <v>90</v>
      </c>
      <c r="Q25" s="19">
        <f>P17-T21-Q22</f>
        <v>-364.32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 t="s">
        <v>101</v>
      </c>
      <c r="K26" s="1">
        <f>J21*0.05</f>
        <v>1600</v>
      </c>
      <c r="L26" s="1"/>
      <c r="M26" s="3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 t="s">
        <v>103</v>
      </c>
      <c r="K27" s="85">
        <f>SUM(K24:K26)</f>
        <v>7680</v>
      </c>
      <c r="L27" s="1">
        <f>K27/J21</f>
        <v>0.24</v>
      </c>
      <c r="M27" s="3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1" t="s">
        <v>91</v>
      </c>
      <c r="O28" s="1"/>
      <c r="P28" s="19">
        <f>25000-N16</f>
        <v>24000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1"/>
      <c r="O29" s="1"/>
      <c r="P29" s="19">
        <f>P28/M18</f>
        <v>1090.909091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1" t="s">
        <v>96</v>
      </c>
      <c r="O31" s="1"/>
      <c r="P31" s="19">
        <f>27000-N16</f>
        <v>26000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1"/>
      <c r="O32" s="1"/>
      <c r="P32" s="19">
        <f>P31/M18</f>
        <v>1181.818182</v>
      </c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 t="s">
        <v>107</v>
      </c>
      <c r="K35" s="1"/>
      <c r="L35" s="19">
        <f>P17/J21</f>
        <v>0.09075</v>
      </c>
      <c r="M35" s="3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 t="s">
        <v>108</v>
      </c>
      <c r="L36" s="1" t="s">
        <v>109</v>
      </c>
      <c r="M36" s="3" t="s">
        <v>110</v>
      </c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 t="s">
        <v>112</v>
      </c>
      <c r="K37" s="1">
        <v>603.0</v>
      </c>
      <c r="L37" s="1">
        <v>630.0</v>
      </c>
      <c r="M37" s="3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>
        <v>505.0</v>
      </c>
      <c r="L38" s="1">
        <v>621.0</v>
      </c>
      <c r="M38" s="3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v>721.0</v>
      </c>
      <c r="L39" s="1">
        <v>611.0</v>
      </c>
      <c r="M39" s="3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>
        <v>568.0</v>
      </c>
      <c r="L40" s="1">
        <v>608.0</v>
      </c>
      <c r="M40" s="3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>
        <v>590.0</v>
      </c>
      <c r="L41" s="1">
        <v>541.0</v>
      </c>
      <c r="M41" s="3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591.0</v>
      </c>
      <c r="M42" s="3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>SUM(K37:K41)</f>
        <v>2987</v>
      </c>
      <c r="L43" s="1">
        <f>3*SUM(L37:L42)</f>
        <v>10806</v>
      </c>
      <c r="M43" s="3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>
        <f>SUM(K43:M43)</f>
        <v>13793</v>
      </c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12.33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44.0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39.0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10428</v>
      </c>
      <c r="O10" s="41">
        <f>K3*M3+K6*M6+K9*M9+M12*K12</f>
        <v>8436</v>
      </c>
      <c r="P10" s="41">
        <f>M3*L3+M6*L6+M9*L9+M12*L12</f>
        <v>4345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SUM(N10:O10)</f>
        <v>18864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281.2</v>
      </c>
      <c r="R17" s="20">
        <f>M3*H3+M6*H6+M9*H9+(N16/2)</f>
        <v>3012</v>
      </c>
      <c r="S17" s="55">
        <f>M3*F4+F7*M6+F10*M9</f>
        <v>347.6</v>
      </c>
      <c r="T17" s="57">
        <f>M3*H4+H7*M6+H11*M9+(N16/2)</f>
        <v>3676</v>
      </c>
      <c r="U17" s="9">
        <f>M3*F5+F8*M6+F11*M9</f>
        <v>140.6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83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301.2</v>
      </c>
      <c r="S18" s="55"/>
      <c r="T18" s="57">
        <f>T17*0.1</f>
        <v>367.6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32000.0</v>
      </c>
      <c r="K21" s="62">
        <v>0.09</v>
      </c>
      <c r="L21" s="84">
        <f>J21*K21</f>
        <v>2880</v>
      </c>
      <c r="M21" s="62"/>
      <c r="N21" s="64"/>
      <c r="P21" s="19"/>
      <c r="Q21" s="67">
        <v>0.08</v>
      </c>
      <c r="R21" s="1"/>
      <c r="S21" s="1"/>
      <c r="T21" s="19">
        <f>SUM(R17:R18)+SUM(T17:T18)</f>
        <v>7356.8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>
        <f>J21*0.07</f>
        <v>2240</v>
      </c>
      <c r="L22" s="62"/>
      <c r="M22" s="62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3200</v>
      </c>
      <c r="L24" s="62"/>
      <c r="M24" s="62"/>
      <c r="N24" s="1"/>
      <c r="O24" s="1"/>
      <c r="P24" s="70" t="s">
        <v>89</v>
      </c>
      <c r="Q24" s="73">
        <f>P17-T21</f>
        <v>-7356.8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2880</v>
      </c>
      <c r="L25" s="62"/>
      <c r="M25" s="62"/>
      <c r="N25" s="1"/>
      <c r="O25" s="1"/>
      <c r="P25" s="1" t="s">
        <v>90</v>
      </c>
      <c r="Q25" s="19">
        <f>P17-T21-Q22</f>
        <v>-7356.8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1600</v>
      </c>
      <c r="L26" s="62"/>
      <c r="M26" s="62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7680</v>
      </c>
      <c r="L27" s="62">
        <f>K27/J21</f>
        <v>0.24</v>
      </c>
      <c r="M27" s="62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1" t="s">
        <v>91</v>
      </c>
      <c r="O28" s="1"/>
      <c r="P28" s="19">
        <f>25000-N16</f>
        <v>24600</v>
      </c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1"/>
      <c r="O29" s="1"/>
      <c r="P29" s="19">
        <f>P28/M18</f>
        <v>296.3855422</v>
      </c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1" t="s">
        <v>96</v>
      </c>
      <c r="O31" s="1"/>
      <c r="P31" s="19">
        <f>27000-N16</f>
        <v>26600</v>
      </c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"/>
      <c r="O32" s="1"/>
      <c r="P32" s="19">
        <f>P31/M18</f>
        <v>320.4819277</v>
      </c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0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0.0</v>
      </c>
      <c r="N3" s="3"/>
      <c r="O3" s="3"/>
      <c r="P3" s="1"/>
      <c r="Q3" s="1"/>
      <c r="R3" s="1"/>
      <c r="S3" s="1"/>
      <c r="T3" s="1"/>
      <c r="U3" s="1"/>
      <c r="V3" s="1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3"/>
      <c r="S4" s="3"/>
      <c r="T4" s="3"/>
      <c r="U4" s="3"/>
      <c r="V4" s="3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27"/>
      <c r="S5" s="27"/>
      <c r="T5" s="27"/>
      <c r="U5" s="27"/>
      <c r="V5" s="27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f>(18+6+9+4)</f>
        <v>37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f>(4+6+2+12+3+2+3+1+2+1)</f>
        <v>36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10692</v>
      </c>
      <c r="O10" s="41">
        <f>K3*M3+K6*M6+K9*M9+M12*K12</f>
        <v>8844</v>
      </c>
      <c r="P10" s="41">
        <f>M3*L3+M6*L6+M9*L9+M12*L12</f>
        <v>4455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>
        <f>(2+1+1)</f>
        <v>4</v>
      </c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23991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277.2</v>
      </c>
      <c r="R17" s="20">
        <f>M3*H3+M6*H6+M9*H9+(N16/2)</f>
        <v>2972</v>
      </c>
      <c r="S17" s="55">
        <f>M3*F4+F7*M6+F10*M9</f>
        <v>335.6</v>
      </c>
      <c r="T17" s="57">
        <f>M3*H4+H7*M6+H11*M9+(N16/2)</f>
        <v>2548</v>
      </c>
      <c r="U17" s="9">
        <f>M3*F5+F8*M6+F11*M9</f>
        <v>138.6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77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297.2</v>
      </c>
      <c r="S18" s="55"/>
      <c r="T18" s="57">
        <f>T17*0.1</f>
        <v>254.8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94352.0</v>
      </c>
      <c r="K21" s="62">
        <v>0.09</v>
      </c>
      <c r="L21" s="84">
        <f>J21*K21</f>
        <v>8491.68</v>
      </c>
      <c r="M21" s="62"/>
      <c r="N21" s="64"/>
      <c r="P21" s="19"/>
      <c r="Q21" s="67">
        <v>0.08</v>
      </c>
      <c r="R21" s="1"/>
      <c r="S21" s="1"/>
      <c r="T21" s="19">
        <f>SUM(R17:R18)+SUM(T17:T18)</f>
        <v>6072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>
        <f>J21*0.07</f>
        <v>6604.64</v>
      </c>
      <c r="L22" s="62"/>
      <c r="M22" s="62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9435.2</v>
      </c>
      <c r="L24" s="62"/>
      <c r="M24" s="62"/>
      <c r="N24" s="1"/>
      <c r="O24" s="1"/>
      <c r="P24" s="70" t="s">
        <v>89</v>
      </c>
      <c r="Q24" s="73">
        <f>P17-T21</f>
        <v>-6072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8491.68</v>
      </c>
      <c r="L25" s="62"/>
      <c r="M25" s="62"/>
      <c r="N25" s="1"/>
      <c r="O25" s="1"/>
      <c r="P25" s="1" t="s">
        <v>90</v>
      </c>
      <c r="Q25" s="19">
        <f>P17-T21-Q22</f>
        <v>-6072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4717.6</v>
      </c>
      <c r="L26" s="62"/>
      <c r="M26" s="62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22644.48</v>
      </c>
      <c r="L27" s="62">
        <f>K27/J21</f>
        <v>0.24</v>
      </c>
      <c r="M27" s="62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1" t="s">
        <v>105</v>
      </c>
      <c r="O28" s="19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1" t="s">
        <v>106</v>
      </c>
      <c r="O29" s="19">
        <f>O28/M18</f>
        <v>319.4805195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1" t="s">
        <v>111</v>
      </c>
      <c r="O31" s="19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" t="s">
        <v>113</v>
      </c>
      <c r="O32" s="19">
        <f>O31/M18</f>
        <v>345.4545455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 t="s">
        <v>135</v>
      </c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 t="s">
        <v>136</v>
      </c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0.0</v>
      </c>
      <c r="N3" s="3"/>
      <c r="O3" s="3"/>
      <c r="P3" s="1"/>
      <c r="Q3" s="1"/>
      <c r="R3" s="16" t="s">
        <v>137</v>
      </c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376.0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49632</v>
      </c>
      <c r="O10" s="41">
        <f>K3*M3+K6*M6+K9*M9+M12*K12</f>
        <v>40608</v>
      </c>
      <c r="P10" s="41">
        <f>M3*L3+M6*L6+M9*L9+M12*L12</f>
        <v>20680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110920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1353.6</v>
      </c>
      <c r="R17" s="20">
        <f>M3*H3+M6*H6+M9*H9+(N16/2)</f>
        <v>13736</v>
      </c>
      <c r="S17" s="55">
        <f>M3*F4+F7*M6+F10*M9</f>
        <v>1654.4</v>
      </c>
      <c r="T17" s="57">
        <f>M3*H4+H7*M6+H11*M9+(N16/2)</f>
        <v>16744</v>
      </c>
      <c r="U17" s="9">
        <f>M3*F5+F8*M6+F11*M9</f>
        <v>676.8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376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1373.6</v>
      </c>
      <c r="S18" s="55"/>
      <c r="T18" s="57">
        <f>T17*0.1</f>
        <v>1674.4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6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64"/>
      <c r="P21" s="19"/>
      <c r="Q21" s="67">
        <v>0.08</v>
      </c>
      <c r="R21" s="1"/>
      <c r="S21" s="1"/>
      <c r="T21" s="19">
        <f>SUM(R17:R18)+SUM(T17:T18)</f>
        <v>33528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1"/>
      <c r="O22" s="1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1"/>
      <c r="O23" s="1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1"/>
      <c r="O24" s="1"/>
      <c r="P24" s="70" t="s">
        <v>89</v>
      </c>
      <c r="Q24" s="73">
        <f>P17-T21</f>
        <v>-33528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1"/>
      <c r="O25" s="1"/>
      <c r="P25" s="1" t="s">
        <v>90</v>
      </c>
      <c r="Q25" s="19">
        <f>P17-T21-Q22</f>
        <v>-33528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1"/>
      <c r="O26" s="1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1"/>
      <c r="O27" s="1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1" t="s">
        <v>105</v>
      </c>
      <c r="O28" s="19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1" t="s">
        <v>106</v>
      </c>
      <c r="O29" s="19">
        <f>O28/M18</f>
        <v>65.42553191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1"/>
      <c r="O30" s="1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1" t="s">
        <v>111</v>
      </c>
      <c r="O31" s="19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" t="s">
        <v>113</v>
      </c>
      <c r="O32" s="19">
        <f>O31/M18</f>
        <v>70.74468085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1"/>
      <c r="O34" s="1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1"/>
      <c r="O35" s="1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1"/>
      <c r="O36" s="1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1"/>
      <c r="O37" s="1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1"/>
      <c r="O38" s="1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1"/>
      <c r="O39" s="1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1"/>
      <c r="O40" s="1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1"/>
      <c r="O41" s="1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1"/>
      <c r="O42" s="1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1"/>
      <c r="O43" s="1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16.0</v>
      </c>
      <c r="N3" s="3"/>
      <c r="O3" s="3"/>
      <c r="P3" s="1"/>
      <c r="Q3" s="1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24.0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24.0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8544</v>
      </c>
      <c r="O10" s="41">
        <f>K3*M3+K6*M6+K9*M9+M12*K12</f>
        <v>7008</v>
      </c>
      <c r="P10" s="41">
        <f>M3*L3+M6*L6+M9*L9+M12*L12</f>
        <v>3560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19112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233.6</v>
      </c>
      <c r="R17" s="20">
        <f>M3*H3+M6*H6+M9*H9+(N16/2)</f>
        <v>2536</v>
      </c>
      <c r="S17" s="55">
        <f>M3*F4+F7*M6+F10*M9</f>
        <v>284.8</v>
      </c>
      <c r="T17" s="57">
        <f>M3*H4+H7*M6+H11*M9+(N16/2)</f>
        <v>2376</v>
      </c>
      <c r="U17" s="9">
        <f>M3*F5+F8*M6+F11*M9</f>
        <v>116.8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64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253.6</v>
      </c>
      <c r="S18" s="55"/>
      <c r="T18" s="57">
        <f>T17*0.1</f>
        <v>237.6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5403.2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-5403.2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-5403.2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384.375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415.625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29">
        <v>150.0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29">
        <v>70.0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29">
        <v>78.0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27744</v>
      </c>
      <c r="O10" s="41">
        <f>K3*M3+K6*M6+K9*M9+M12*K12</f>
        <v>31320</v>
      </c>
      <c r="P10" s="41">
        <f>M3*L3+M6*L6+M9*L9+M12*L12</f>
        <v>16030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29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50"/>
      <c r="O16" s="1"/>
      <c r="P16" s="54">
        <f>SUM(N10:P10)+M16</f>
        <v>75094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1044</v>
      </c>
      <c r="R17" s="20">
        <f>M3*H3+M6*H6+M9*H9+(N16/2)</f>
        <v>10440</v>
      </c>
      <c r="S17" s="55">
        <f>M3*F4+F7*M6+F10*M9</f>
        <v>924.8</v>
      </c>
      <c r="T17" s="57">
        <f>M3*H4+H7*M6+H11*M9+(N16/2)</f>
        <v>8000</v>
      </c>
      <c r="U17" s="9">
        <f>M3*F5+F8*M6+F11*M9</f>
        <v>522</v>
      </c>
      <c r="V17" s="58">
        <f>H5*L3+H8*L6+H11*L9</f>
        <v>2990</v>
      </c>
    </row>
    <row r="18" ht="15.0" customHeight="1">
      <c r="A18" s="59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298</v>
      </c>
      <c r="N18" s="1"/>
      <c r="O18" s="1" t="s">
        <v>79</v>
      </c>
      <c r="P18" s="19">
        <f>SUM(N10:P10)</f>
        <v>75094</v>
      </c>
      <c r="Q18" s="5" t="s">
        <v>80</v>
      </c>
      <c r="R18" s="20">
        <f>R17*0.1</f>
        <v>1044</v>
      </c>
      <c r="S18" s="55"/>
      <c r="T18" s="57">
        <f>T17*0.1</f>
        <v>800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 t="s">
        <v>82</v>
      </c>
      <c r="L19" s="62" t="s">
        <v>82</v>
      </c>
      <c r="M19" s="63"/>
      <c r="N19" s="1"/>
      <c r="O19" s="1" t="s">
        <v>81</v>
      </c>
      <c r="P19" s="19">
        <f>P18/M18</f>
        <v>251.9932886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20284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>
        <v>129778.0</v>
      </c>
      <c r="J22" s="72">
        <v>0.25</v>
      </c>
      <c r="K22" s="52">
        <f>I22*J22</f>
        <v>32444.5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12977.8</v>
      </c>
      <c r="L27" s="72"/>
      <c r="M27" s="75">
        <f>0.09*I22</f>
        <v>11680.02</v>
      </c>
      <c r="N27" s="72"/>
      <c r="O27" s="76" t="s">
        <v>97</v>
      </c>
      <c r="P27" s="77">
        <f>N10/P19</f>
        <v>110.0981703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18168.92</v>
      </c>
      <c r="L28" s="72"/>
      <c r="M28" s="75">
        <f>0.12*I22</f>
        <v>15573.36</v>
      </c>
      <c r="N28" s="72"/>
      <c r="O28" s="76" t="s">
        <v>99</v>
      </c>
      <c r="P28" s="77">
        <f>O10/P19</f>
        <v>124.2890244</v>
      </c>
      <c r="Q28" s="1"/>
      <c r="R28" s="1"/>
      <c r="S28" s="70" t="s">
        <v>89</v>
      </c>
      <c r="T28" s="73">
        <f>P17-T21</f>
        <v>-20284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7786.68</v>
      </c>
      <c r="L29" s="72"/>
      <c r="M29" s="75">
        <f>0.06*I22</f>
        <v>7786.68</v>
      </c>
      <c r="N29" s="72"/>
      <c r="O29" s="76" t="s">
        <v>49</v>
      </c>
      <c r="P29" s="77">
        <f>P10/P19</f>
        <v>63.61280528</v>
      </c>
      <c r="Q29" s="1"/>
      <c r="R29" s="1"/>
      <c r="S29" s="1" t="s">
        <v>90</v>
      </c>
      <c r="T29" s="19">
        <f>P17-T21-Q22</f>
        <v>-20284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5191.12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38933.4</v>
      </c>
      <c r="L31" s="72"/>
      <c r="M31" s="78">
        <f>SUM(M27:M30)</f>
        <v>40231.18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>
        <f>P19/I22</f>
        <v>0.001941725782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48.0</v>
      </c>
      <c r="N3" s="3"/>
      <c r="O3" s="3"/>
      <c r="P3" s="1"/>
      <c r="Q3" s="1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60.0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13680</v>
      </c>
      <c r="O10" s="41">
        <f>K3*M3+K6*M6+K9*M9+M12*K12</f>
        <v>11088</v>
      </c>
      <c r="P10" s="41">
        <f>M3*L3+M6*L6+M9*L9+M12*L12</f>
        <v>5700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30468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369.6</v>
      </c>
      <c r="R17" s="20">
        <f>M3*H3+M6*H6+M9*H9+(N16/2)</f>
        <v>3896</v>
      </c>
      <c r="S17" s="55">
        <f>M3*F4+F7*M6+F10*M9</f>
        <v>456</v>
      </c>
      <c r="T17" s="57">
        <f>M3*H4+H7*M6+H11*M9+(N16/2)</f>
        <v>4760</v>
      </c>
      <c r="U17" s="9">
        <f>M3*F5+F8*M6+F11*M9</f>
        <v>184.8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108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389.6</v>
      </c>
      <c r="S18" s="55"/>
      <c r="T18" s="57">
        <f>T17*0.1</f>
        <v>476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9521.6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-9521.6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-9521.6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227.7777778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246.2962963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34.0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4488</v>
      </c>
      <c r="O10" s="41">
        <f>K3*M3+K6*M6+K9*M9+M12*K12</f>
        <v>3672</v>
      </c>
      <c r="P10" s="41">
        <f>M3*L3+M6*L6+M9*L9+M12*L12</f>
        <v>1870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10030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122.4</v>
      </c>
      <c r="R17" s="20">
        <f>M3*H3+M6*H6+M9*H9+(N16/2)</f>
        <v>1424</v>
      </c>
      <c r="S17" s="55">
        <f>M3*F4+F7*M6+F10*M9</f>
        <v>149.6</v>
      </c>
      <c r="T17" s="57">
        <f>M3*H4+H7*M6+H11*M9+(N16/2)</f>
        <v>1696</v>
      </c>
      <c r="U17" s="9">
        <f>M3*F5+F8*M6+F11*M9</f>
        <v>61.2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34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142.4</v>
      </c>
      <c r="S18" s="55"/>
      <c r="T18" s="57">
        <f>T17*0.1</f>
        <v>169.6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3432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-3432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-3432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723.5294118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782.3529412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1"/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186.0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94.0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35.0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39768</v>
      </c>
      <c r="O10" s="41">
        <f>K3*M3+K6*M6+K9*M9+M12*K12</f>
        <v>32208</v>
      </c>
      <c r="P10" s="3"/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8000.0</v>
      </c>
      <c r="M16" s="52">
        <f>K16*L16</f>
        <v>1600</v>
      </c>
      <c r="N16" s="50">
        <f>M16*K16</f>
        <v>320</v>
      </c>
      <c r="O16" s="1"/>
      <c r="P16" s="54">
        <f>SUM(N10:O10)+M16</f>
        <v>73576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1073.6</v>
      </c>
      <c r="R17" s="20">
        <f>M3*H3+M6*H6+M9*H9+(N16/2)</f>
        <v>10896</v>
      </c>
      <c r="S17" s="55">
        <f>M3*F4+F7*M6+F10*M9</f>
        <v>1325.6</v>
      </c>
      <c r="T17" s="57">
        <f>M3*H4+H7*M6+H11*M9+(N16/2)</f>
        <v>12436</v>
      </c>
      <c r="U17" s="9">
        <f>M3*F5+F8*M6+F11*M9</f>
        <v>536.8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315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1089.6</v>
      </c>
      <c r="S18" s="55"/>
      <c r="T18" s="57">
        <f>T17*0.1</f>
        <v>1243.6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455000.0</v>
      </c>
      <c r="K21" s="62"/>
      <c r="L21" s="84">
        <f>P16/J21</f>
        <v>0.1617054945</v>
      </c>
      <c r="M21" s="62"/>
      <c r="N21" s="74"/>
      <c r="P21" s="19"/>
      <c r="Q21" s="67">
        <v>0.08</v>
      </c>
      <c r="R21" s="1"/>
      <c r="S21" s="1"/>
      <c r="T21" s="19">
        <f>SUM(R17:R18)+SUM(T17:T18)</f>
        <v>25665.2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45500</v>
      </c>
      <c r="L24" s="62"/>
      <c r="M24" s="62"/>
      <c r="N24" s="62"/>
      <c r="O24" s="62"/>
      <c r="P24" s="70" t="s">
        <v>89</v>
      </c>
      <c r="Q24" s="73">
        <f>P17-T21</f>
        <v>-25665.2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40950</v>
      </c>
      <c r="L25" s="62"/>
      <c r="M25" s="62"/>
      <c r="N25" s="62"/>
      <c r="O25" s="62"/>
      <c r="P25" s="1" t="s">
        <v>90</v>
      </c>
      <c r="Q25" s="19">
        <f>P17-T21-Q22</f>
        <v>-25665.2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22750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109200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24680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78.34920635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26680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84.6984127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9.11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27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3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27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134.0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17688</v>
      </c>
      <c r="O10" s="41">
        <f>K3*M3+K6*M6+K9*M9+M12*K12</f>
        <v>14472</v>
      </c>
      <c r="P10" s="41">
        <f>M3*L3+M6*L6+M9*L9+M12*L12</f>
        <v>7370</v>
      </c>
      <c r="Q10" s="3" t="s">
        <v>134</v>
      </c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 t="s">
        <v>76</v>
      </c>
      <c r="M16" s="23">
        <v>2000.0</v>
      </c>
      <c r="N16" s="50">
        <f>M16*K16</f>
        <v>400</v>
      </c>
      <c r="O16" s="1"/>
      <c r="P16" s="54">
        <f>SUM(N10:P10)</f>
        <v>39530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482.4</v>
      </c>
      <c r="R17" s="20">
        <f>M3*H3+M6*H6+M9*H9+(N16/2)</f>
        <v>5024</v>
      </c>
      <c r="S17" s="55">
        <f>M3*F4+F7*M6+F10*M9</f>
        <v>589.6</v>
      </c>
      <c r="T17" s="57">
        <f>M3*H4+H7*M6+H11*M9+(N16/2)</f>
        <v>6096</v>
      </c>
      <c r="U17" s="9">
        <f>M3*F5+F8*M6+F11*M9</f>
        <v>241.2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134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502.4</v>
      </c>
      <c r="S18" s="55"/>
      <c r="T18" s="57">
        <f>T17*0.1</f>
        <v>609.6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12232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-12232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-12232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24600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183.5820896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26600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198.5074627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1"/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 t="s">
        <v>138</v>
      </c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/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105.0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13860</v>
      </c>
      <c r="O10" s="41">
        <f>K3*M3+K6*M6+K9*M9+M12*K12</f>
        <v>11340</v>
      </c>
      <c r="P10" s="3"/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22000.0</v>
      </c>
      <c r="M16" s="52">
        <f>K16*L16</f>
        <v>4400</v>
      </c>
      <c r="N16" s="50">
        <f>M16*K16</f>
        <v>880</v>
      </c>
      <c r="O16" s="1"/>
      <c r="P16" s="54">
        <f>SUM(N10:O10)+M16</f>
        <v>29600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378</v>
      </c>
      <c r="R17" s="20">
        <f>M3*H3+M6*H6+M9*H9+(N16/2)</f>
        <v>4220</v>
      </c>
      <c r="S17" s="55">
        <f>M3*F4+F7*M6+F10*M9</f>
        <v>462</v>
      </c>
      <c r="T17" s="57">
        <f>M3*H4+H7*M6+H11*M9+(N16/2)</f>
        <v>5060</v>
      </c>
      <c r="U17" s="9">
        <f>M3*F5+F8*M6+F11*M9</f>
        <v>189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105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422</v>
      </c>
      <c r="S18" s="55"/>
      <c r="T18" s="57">
        <f>T17*0.1</f>
        <v>506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10208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-10208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-10208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24120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229.7142857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26120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248.7619048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f>24+1+45+3+6+6</f>
        <v>85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f>34+2+10+2+10+2+12+12+12+16</f>
        <v>112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f>34+2</f>
        <v>36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30168</v>
      </c>
      <c r="O10" s="41">
        <f>K3*M3+K6*M6+K9*M9+M12*K12</f>
        <v>24576</v>
      </c>
      <c r="P10" s="41">
        <f>M3*L3+M6*L6+M9*L9+M12*L12</f>
        <v>12570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4701.0</v>
      </c>
      <c r="M16" s="52">
        <f>K16*L16</f>
        <v>940.2</v>
      </c>
      <c r="N16" s="50">
        <f>M16*K16</f>
        <v>188.04</v>
      </c>
      <c r="O16" s="1"/>
      <c r="P16" s="54">
        <f>SUM(N1:P10)+M16</f>
        <v>68254.2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819.2</v>
      </c>
      <c r="R17" s="20">
        <f>M3*H3+M6*H6+M9*H9+(N16/2)</f>
        <v>8286.02</v>
      </c>
      <c r="S17" s="55">
        <f>M3*F4+F7*M6+F10*M9</f>
        <v>1005.6</v>
      </c>
      <c r="T17" s="57">
        <f>M3*H4+H7*M6+H11*M9+(N16/2)</f>
        <v>9142.02</v>
      </c>
      <c r="U17" s="9">
        <f>M3*F5+F8*M6+F11*M9</f>
        <v>409.6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233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828.602</v>
      </c>
      <c r="S18" s="55"/>
      <c r="T18" s="57">
        <f>T17*0.1</f>
        <v>914.202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268327.0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19170.844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26832.7</v>
      </c>
      <c r="L24" s="62"/>
      <c r="M24" s="62"/>
      <c r="N24" s="62"/>
      <c r="O24" s="62"/>
      <c r="P24" s="70" t="s">
        <v>89</v>
      </c>
      <c r="Q24" s="73">
        <f>P17-T21</f>
        <v>-19170.844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24149.43</v>
      </c>
      <c r="L25" s="62"/>
      <c r="M25" s="62"/>
      <c r="N25" s="62"/>
      <c r="O25" s="62"/>
      <c r="P25" s="1" t="s">
        <v>90</v>
      </c>
      <c r="Q25" s="19">
        <f>P17-T21-Q22</f>
        <v>-19170.844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13416.35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64398.48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24811.96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106.4890987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26811.96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115.0727897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 t="s">
        <v>138</v>
      </c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15.0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30.0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15.0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7920</v>
      </c>
      <c r="O10" s="41">
        <f>K3*M3+K6*M6+K9*M9+M12*K12</f>
        <v>6480</v>
      </c>
      <c r="P10" s="41">
        <f>M3*L3+M6*L6+M9*L9+M12*L12</f>
        <v>3300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22000.0</v>
      </c>
      <c r="M16" s="52">
        <f>K16*L16</f>
        <v>4400</v>
      </c>
      <c r="N16" s="50">
        <f>M16*K16</f>
        <v>880</v>
      </c>
      <c r="O16" s="1"/>
      <c r="P16" s="54">
        <f>SUM(N10:P10)+M16</f>
        <v>22100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216</v>
      </c>
      <c r="R17" s="20">
        <f>M3*H3+M6*H6+M9*H9+(N16/2)</f>
        <v>2600</v>
      </c>
      <c r="S17" s="55">
        <f>M3*F4+F7*M6+F10*M9</f>
        <v>264</v>
      </c>
      <c r="T17" s="57">
        <f>M3*H4+H7*M6+H11*M9+(N16/2)</f>
        <v>2660</v>
      </c>
      <c r="U17" s="9">
        <f>M3*F5+F8*M6+F11*M9</f>
        <v>108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60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260</v>
      </c>
      <c r="S18" s="55"/>
      <c r="T18" s="57">
        <f>T17*0.1</f>
        <v>266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5786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-5786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-5786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24120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402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26120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435.3333333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 t="s">
        <v>138</v>
      </c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216.0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25920</v>
      </c>
      <c r="O10" s="41">
        <f>K3*M3+K6*M6+K9*M9+M12*K12</f>
        <v>20736</v>
      </c>
      <c r="P10" s="41">
        <f>M3*L3+M6*L6+M9*L9+M12*L12</f>
        <v>10800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22000.0</v>
      </c>
      <c r="M16" s="52">
        <f>K16*L16</f>
        <v>4400</v>
      </c>
      <c r="N16" s="50">
        <f>M16*K16</f>
        <v>880</v>
      </c>
      <c r="O16" s="1"/>
      <c r="P16" s="54">
        <f>SUM(N10:O10)+M16</f>
        <v>51056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691.2</v>
      </c>
      <c r="R17" s="20">
        <f>M3*H3+M6*H6+M9*H9+(N16/2)</f>
        <v>7352</v>
      </c>
      <c r="S17" s="55">
        <f>M3*F4+F7*M6+F10*M9</f>
        <v>864</v>
      </c>
      <c r="T17" s="57">
        <f>M3*H4+H7*M6+H11*M9+(N16/2)</f>
        <v>9080</v>
      </c>
      <c r="U17" s="9">
        <f>M3*F5+F8*M6+F11*M9</f>
        <v>345.6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216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735.2</v>
      </c>
      <c r="S18" s="55"/>
      <c r="T18" s="57">
        <f>T17*0.1</f>
        <v>908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487000.0</v>
      </c>
      <c r="K21" s="62"/>
      <c r="L21" s="84">
        <f>J21*K21</f>
        <v>0</v>
      </c>
      <c r="M21" s="62"/>
      <c r="N21" s="74"/>
      <c r="P21" s="19"/>
      <c r="Q21" s="67">
        <v>0.08</v>
      </c>
      <c r="R21" s="1"/>
      <c r="S21" s="1"/>
      <c r="T21" s="19">
        <f>SUM(R17:R18)+SUM(T17:T18)</f>
        <v>18075.2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48700</v>
      </c>
      <c r="L24" s="62"/>
      <c r="M24" s="62"/>
      <c r="N24" s="62"/>
      <c r="O24" s="62"/>
      <c r="P24" s="70" t="s">
        <v>89</v>
      </c>
      <c r="Q24" s="73">
        <f>P17-T21</f>
        <v>-18075.2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43830</v>
      </c>
      <c r="L25" s="62"/>
      <c r="M25" s="62"/>
      <c r="N25" s="62"/>
      <c r="O25" s="62"/>
      <c r="P25" s="1" t="s">
        <v>90</v>
      </c>
      <c r="Q25" s="19">
        <f>P17-T21-Q22</f>
        <v>-18075.2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24350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116880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24120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111.6666667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26120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120.9259259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3:M5"/>
    <mergeCell ref="L3:L5"/>
    <mergeCell ref="M6:M8"/>
    <mergeCell ref="L6:L8"/>
    <mergeCell ref="L9:L11"/>
    <mergeCell ref="M9:M11"/>
    <mergeCell ref="L12:L14"/>
    <mergeCell ref="N20:O20"/>
    <mergeCell ref="N21:O21"/>
    <mergeCell ref="M12:M14"/>
    <mergeCell ref="S15:T15"/>
    <mergeCell ref="Q15:R15"/>
    <mergeCell ref="U15:V15"/>
  </mergeCells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 t="s">
        <v>139</v>
      </c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60.0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/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7200</v>
      </c>
      <c r="O10" s="41">
        <f>K3*M3+K6*M6+K9*M9+M12*K12</f>
        <v>5760</v>
      </c>
      <c r="P10" s="41">
        <f>M3*L3+M6*L6+M9*L9+M12*L12</f>
        <v>3000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22000.0</v>
      </c>
      <c r="M16" s="52">
        <f>K16*L16</f>
        <v>4400</v>
      </c>
      <c r="N16" s="50">
        <f>M16*K16</f>
        <v>880</v>
      </c>
      <c r="O16" s="1"/>
      <c r="P16" s="54">
        <f>SUM(N10:O10)+M16</f>
        <v>17360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192</v>
      </c>
      <c r="R17" s="20">
        <f>M3*H3+M6*H6+M9*H9+(N16/2)</f>
        <v>2360</v>
      </c>
      <c r="S17" s="55">
        <f>M3*F4+F7*M6+F10*M9</f>
        <v>240</v>
      </c>
      <c r="T17" s="57">
        <f>M3*H4+H7*M6+H11*M9+(N16/2)</f>
        <v>2840</v>
      </c>
      <c r="U17" s="9">
        <f>M3*F5+F8*M6+F11*M9</f>
        <v>96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60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236</v>
      </c>
      <c r="S18" s="55"/>
      <c r="T18" s="57">
        <f>T17*0.1</f>
        <v>284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3">
        <v>256800.0</v>
      </c>
      <c r="K21" s="62">
        <v>0.15</v>
      </c>
      <c r="L21" s="84">
        <f>J21*K21</f>
        <v>38520</v>
      </c>
      <c r="M21" s="62"/>
      <c r="N21" s="74"/>
      <c r="P21" s="19"/>
      <c r="Q21" s="67">
        <v>0.08</v>
      </c>
      <c r="R21" s="1"/>
      <c r="S21" s="1"/>
      <c r="T21" s="19">
        <f>SUM(R17:R18)+SUM(T17:T18)</f>
        <v>5720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25680</v>
      </c>
      <c r="L24" s="62"/>
      <c r="M24" s="62"/>
      <c r="N24" s="62"/>
      <c r="O24" s="62"/>
      <c r="P24" s="70" t="s">
        <v>89</v>
      </c>
      <c r="Q24" s="73">
        <f>P17-T21</f>
        <v>-5720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23112</v>
      </c>
      <c r="L25" s="62"/>
      <c r="M25" s="62"/>
      <c r="N25" s="62"/>
      <c r="O25" s="62"/>
      <c r="P25" s="1" t="s">
        <v>90</v>
      </c>
      <c r="Q25" s="19">
        <f>P17-T21-Q22</f>
        <v>-5720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12840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61632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24120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402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26120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435.3333333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164.0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153.0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12.0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41604</v>
      </c>
      <c r="O10" s="41">
        <f>K3*M3+K6*M6+K9*M9+M12*K12</f>
        <v>33708</v>
      </c>
      <c r="P10" s="41">
        <f>M3*L3+M6*L6+M9*L9+M12*L12</f>
        <v>17335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12172.0</v>
      </c>
      <c r="M16" s="52">
        <f>K16*L16</f>
        <v>2434.4</v>
      </c>
      <c r="N16" s="50">
        <f>M16*K16</f>
        <v>486.88</v>
      </c>
      <c r="O16" s="1"/>
      <c r="P16" s="54">
        <f>SUM(N10:P10)+M16</f>
        <v>95081.4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1123.6</v>
      </c>
      <c r="R17" s="20">
        <f>M3*H3+M6*H6+M9*H9+(N16/2)</f>
        <v>11479.44</v>
      </c>
      <c r="S17" s="55">
        <f>M3*F4+F7*M6+F10*M9</f>
        <v>1386.8</v>
      </c>
      <c r="T17" s="57">
        <f>M3*H4+H7*M6+H11*M9+(N16/2)</f>
        <v>13775.44</v>
      </c>
      <c r="U17" s="9">
        <f>M3*F5+F8*M6+F11*M9</f>
        <v>561.8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329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1147.944</v>
      </c>
      <c r="S18" s="55"/>
      <c r="T18" s="57">
        <f>T17*0.1</f>
        <v>1377.544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386599.0</v>
      </c>
      <c r="K21" s="72">
        <v>0.25</v>
      </c>
      <c r="L21" s="52">
        <f>J21*K21</f>
        <v>96649.75</v>
      </c>
      <c r="M21" s="62"/>
      <c r="N21" s="74"/>
      <c r="P21" s="19"/>
      <c r="Q21" s="67">
        <v>0.08</v>
      </c>
      <c r="R21" s="1"/>
      <c r="S21" s="1"/>
      <c r="T21" s="19">
        <f>SUM(R17:R18)+SUM(T17:T18)</f>
        <v>27780.368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38659.9</v>
      </c>
      <c r="L24" s="62"/>
      <c r="M24" s="62"/>
      <c r="N24" s="62"/>
      <c r="O24" s="62"/>
      <c r="P24" s="70" t="s">
        <v>89</v>
      </c>
      <c r="Q24" s="73">
        <f>P17-T21</f>
        <v>-27780.368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34793.91</v>
      </c>
      <c r="L25" s="62"/>
      <c r="M25" s="62"/>
      <c r="N25" s="62"/>
      <c r="O25" s="62"/>
      <c r="P25" s="1" t="s">
        <v>90</v>
      </c>
      <c r="Q25" s="19">
        <f>P17-T21-Q22</f>
        <v>-27780.368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19329.95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92783.76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24513.12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74.50796353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26513.12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80.58699088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127.0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77.0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10.0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19140</v>
      </c>
      <c r="O10" s="41">
        <f>K3*M3+K6*M6+K9*M9+M12*K12</f>
        <v>21708</v>
      </c>
      <c r="P10" s="41">
        <f>M3*L3+M6*L6+M9*L9+M12*L12</f>
        <v>11185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50"/>
      <c r="O16" s="1"/>
      <c r="P16" s="54">
        <f>SUM(N10:P10)+M16</f>
        <v>52033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723.6</v>
      </c>
      <c r="R17" s="20">
        <f>M3*H3+M6*H6+M9*H9+(N16/2)</f>
        <v>7236</v>
      </c>
      <c r="S17" s="55">
        <f>M3*F4+F7*M6+F10*M9</f>
        <v>638</v>
      </c>
      <c r="T17" s="57">
        <f>M3*H4+H7*M6+H11*M9+(N16/2)</f>
        <v>6220</v>
      </c>
      <c r="U17" s="9">
        <f>M3*F5+F8*M6+F11*M9</f>
        <v>361.8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214</v>
      </c>
      <c r="N18" s="1"/>
      <c r="O18" s="1" t="s">
        <v>79</v>
      </c>
      <c r="P18" s="19">
        <f>SUM(N10:P10)</f>
        <v>52033</v>
      </c>
      <c r="Q18" s="5" t="s">
        <v>80</v>
      </c>
      <c r="R18" s="20">
        <f>R17*0.1</f>
        <v>723.6</v>
      </c>
      <c r="S18" s="55"/>
      <c r="T18" s="57">
        <f>T17*0.1</f>
        <v>622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 t="s">
        <v>82</v>
      </c>
      <c r="L19" s="62" t="s">
        <v>82</v>
      </c>
      <c r="M19" s="63"/>
      <c r="N19" s="1"/>
      <c r="O19" s="1" t="s">
        <v>81</v>
      </c>
      <c r="P19" s="19">
        <f>P18/M18</f>
        <v>243.1448598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14801.6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/>
      <c r="J22" s="72">
        <v>0.25</v>
      </c>
      <c r="K22" s="52">
        <f>I22*J22</f>
        <v>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0</v>
      </c>
      <c r="L27" s="72"/>
      <c r="M27" s="75">
        <f>0.09*I22</f>
        <v>0</v>
      </c>
      <c r="N27" s="72"/>
      <c r="O27" s="76" t="s">
        <v>97</v>
      </c>
      <c r="P27" s="77">
        <f>N10/P19</f>
        <v>78.71850556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0</v>
      </c>
      <c r="L28" s="72"/>
      <c r="M28" s="75">
        <f>0.12*I22</f>
        <v>0</v>
      </c>
      <c r="N28" s="72"/>
      <c r="O28" s="76" t="s">
        <v>99</v>
      </c>
      <c r="P28" s="77">
        <f>O10/P19</f>
        <v>89.2801107</v>
      </c>
      <c r="Q28" s="1"/>
      <c r="R28" s="1"/>
      <c r="S28" s="70" t="s">
        <v>89</v>
      </c>
      <c r="T28" s="73">
        <f>P17-T21</f>
        <v>-14801.6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0</v>
      </c>
      <c r="L29" s="72"/>
      <c r="M29" s="75">
        <f>0.06*I22</f>
        <v>0</v>
      </c>
      <c r="N29" s="72"/>
      <c r="O29" s="76" t="s">
        <v>49</v>
      </c>
      <c r="P29" s="77">
        <f>P10/P19</f>
        <v>46.00138374</v>
      </c>
      <c r="Q29" s="1"/>
      <c r="R29" s="1"/>
      <c r="S29" s="1" t="s">
        <v>90</v>
      </c>
      <c r="T29" s="19">
        <f>P17-T21-Q22</f>
        <v>-14801.6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 t="str">
        <f>K31/I22</f>
        <v>#DIV/0!</v>
      </c>
      <c r="M30" s="75">
        <f>0.04*I22</f>
        <v>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0</v>
      </c>
      <c r="L31" s="72"/>
      <c r="M31" s="78">
        <f>SUM(M27:M30)</f>
        <v>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 t="str">
        <f>P19/I22</f>
        <v>#DIV/0!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hidden="1" min="1" max="1" width="9.11"/>
    <col customWidth="1" hidden="1" min="2" max="2" width="11.44"/>
    <col customWidth="1" hidden="1" min="3" max="3" width="9.11"/>
    <col customWidth="1" hidden="1" min="4" max="4" width="12.44"/>
    <col customWidth="1" hidden="1" min="5" max="5" width="9.11"/>
    <col customWidth="1" hidden="1" min="6" max="6" width="12.78"/>
    <col customWidth="1" hidden="1" min="7" max="7" width="9.11"/>
    <col customWidth="1" hidden="1" min="8" max="8" width="12.33"/>
    <col customWidth="1" min="9" max="9" width="12.44"/>
    <col customWidth="1" min="10" max="10" width="10.44"/>
    <col customWidth="1" min="11" max="12" width="12.78"/>
    <col customWidth="1" min="13" max="13" width="14.33"/>
    <col customWidth="1" min="14" max="14" width="28.44"/>
    <col customWidth="1" min="15" max="15" width="13.44"/>
    <col customWidth="1" min="16" max="16" width="14.33"/>
    <col customWidth="1" min="17" max="17" width="17.33"/>
    <col customWidth="1" min="18" max="19" width="12.67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80.0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10.0</v>
      </c>
      <c r="D4" s="3">
        <f t="shared" si="1"/>
        <v>40</v>
      </c>
      <c r="E4" s="14"/>
      <c r="F4" s="3">
        <f t="shared" si="2"/>
        <v>4</v>
      </c>
      <c r="G4" s="17"/>
      <c r="H4" s="19">
        <f t="shared" si="3"/>
        <v>40</v>
      </c>
      <c r="I4" s="14"/>
      <c r="J4" s="24">
        <f>H4*3</f>
        <v>120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182.0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11.0</v>
      </c>
      <c r="D7" s="3">
        <f t="shared" si="1"/>
        <v>44</v>
      </c>
      <c r="E7" s="14"/>
      <c r="F7" s="3">
        <f t="shared" si="2"/>
        <v>4.4</v>
      </c>
      <c r="G7" s="17"/>
      <c r="H7" s="19">
        <f t="shared" si="3"/>
        <v>44</v>
      </c>
      <c r="I7" s="14"/>
      <c r="J7" s="24">
        <f>H7*3</f>
        <v>132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36.0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12.0</v>
      </c>
      <c r="D10" s="3">
        <f t="shared" si="1"/>
        <v>48</v>
      </c>
      <c r="E10" s="14"/>
      <c r="F10" s="3">
        <f t="shared" si="2"/>
        <v>4.8</v>
      </c>
      <c r="G10" s="17"/>
      <c r="H10" s="19">
        <f t="shared" si="3"/>
        <v>48</v>
      </c>
      <c r="I10" s="14"/>
      <c r="J10" s="24">
        <f>H10*3</f>
        <v>144</v>
      </c>
      <c r="K10" s="20"/>
      <c r="L10" s="26"/>
      <c r="M10" s="32"/>
      <c r="N10" s="41">
        <f>M3*J4+M6*J7+M9*J10+M12*J13</f>
        <v>38808</v>
      </c>
      <c r="O10" s="41">
        <f>K3*M3+K6*M6+K9*M9+M12*K12</f>
        <v>31656</v>
      </c>
      <c r="P10" s="41">
        <f>M3*L3+M6*L6+M9*L9+M12*L12</f>
        <v>16170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13.0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75</v>
      </c>
      <c r="K16" s="50">
        <v>0.2</v>
      </c>
      <c r="L16" s="49">
        <v>24000.0</v>
      </c>
      <c r="M16" s="52">
        <f>K16*L16</f>
        <v>4800</v>
      </c>
      <c r="N16" s="50">
        <f>M16*K16</f>
        <v>960</v>
      </c>
      <c r="O16" s="1"/>
      <c r="P16" s="54">
        <f>SUM(N10:P10)+M16</f>
        <v>91434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1055.2</v>
      </c>
      <c r="R17" s="20">
        <f>M3*H3+M6*H6+M9*H9+(N16/2)</f>
        <v>11032</v>
      </c>
      <c r="S17" s="55">
        <f>M3*F4+F7*M6+F10*M9</f>
        <v>1293.6</v>
      </c>
      <c r="T17" s="57">
        <f>M3*H4+H7*M6+H11*M9+(N16/2)</f>
        <v>12408</v>
      </c>
      <c r="U17" s="9">
        <f>M3*F5+F8*M6+F11*M9</f>
        <v>527.6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298</v>
      </c>
      <c r="N18" s="1"/>
      <c r="O18" s="1" t="s">
        <v>79</v>
      </c>
      <c r="P18" s="19" t="str">
        <f>P17</f>
        <v/>
      </c>
      <c r="Q18" s="5" t="s">
        <v>80</v>
      </c>
      <c r="R18" s="20">
        <f>R17*0.1</f>
        <v>1103.2</v>
      </c>
      <c r="S18" s="55"/>
      <c r="T18" s="57">
        <f>T17*0.1</f>
        <v>1240.8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0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62" t="s">
        <v>83</v>
      </c>
      <c r="K20" s="62"/>
      <c r="L20" s="62"/>
      <c r="M20" s="62"/>
      <c r="N20" s="74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81">
        <v>330596.0</v>
      </c>
      <c r="K21" s="72">
        <v>0.25</v>
      </c>
      <c r="L21" s="52">
        <f>J21*K21</f>
        <v>82649</v>
      </c>
      <c r="M21" s="62"/>
      <c r="N21" s="74"/>
      <c r="P21" s="19"/>
      <c r="Q21" s="67">
        <v>0.08</v>
      </c>
      <c r="R21" s="1"/>
      <c r="S21" s="1"/>
      <c r="T21" s="19">
        <f>SUM(R17:R18)+SUM(T17:T18)</f>
        <v>25784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62"/>
      <c r="K22" s="62"/>
      <c r="L22" s="62"/>
      <c r="M22" s="62"/>
      <c r="N22" s="62"/>
      <c r="O22" s="62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62"/>
      <c r="K23" s="62"/>
      <c r="L23" s="62"/>
      <c r="M23" s="62"/>
      <c r="N23" s="62"/>
      <c r="O23" s="62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26</v>
      </c>
      <c r="K24" s="62">
        <f>J21*0.1</f>
        <v>33059.6</v>
      </c>
      <c r="L24" s="62"/>
      <c r="M24" s="62"/>
      <c r="N24" s="62"/>
      <c r="O24" s="62"/>
      <c r="P24" s="70" t="s">
        <v>89</v>
      </c>
      <c r="Q24" s="73">
        <f>P17-T21</f>
        <v>-25784</v>
      </c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62" t="s">
        <v>25</v>
      </c>
      <c r="K25" s="62">
        <f>J21*0.09</f>
        <v>29753.64</v>
      </c>
      <c r="L25" s="62"/>
      <c r="M25" s="62"/>
      <c r="N25" s="62"/>
      <c r="O25" s="62"/>
      <c r="P25" s="1" t="s">
        <v>90</v>
      </c>
      <c r="Q25" s="19">
        <f>P17-T21-Q22</f>
        <v>-25784</v>
      </c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62" t="s">
        <v>101</v>
      </c>
      <c r="K26" s="62">
        <f>J21*0.05</f>
        <v>16529.8</v>
      </c>
      <c r="L26" s="62"/>
      <c r="M26" s="62"/>
      <c r="N26" s="6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62" t="s">
        <v>103</v>
      </c>
      <c r="K27" s="82">
        <f>SUM(K24:K26)</f>
        <v>79343.04</v>
      </c>
      <c r="L27" s="62">
        <f>K27/J21</f>
        <v>0.24</v>
      </c>
      <c r="M27" s="62"/>
      <c r="N27" s="62"/>
      <c r="O27" s="62"/>
      <c r="P27" s="1"/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62"/>
      <c r="K28" s="62"/>
      <c r="L28" s="62"/>
      <c r="M28" s="62"/>
      <c r="N28" s="62" t="s">
        <v>105</v>
      </c>
      <c r="O28" s="76">
        <f>25000-N16</f>
        <v>24040</v>
      </c>
      <c r="P28" s="1"/>
      <c r="Q28" s="1"/>
      <c r="R28" s="1"/>
      <c r="S28" s="1"/>
      <c r="T28" s="1"/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62"/>
      <c r="K29" s="62"/>
      <c r="L29" s="62"/>
      <c r="M29" s="62"/>
      <c r="N29" s="62" t="s">
        <v>106</v>
      </c>
      <c r="O29" s="76">
        <f>O28/M18</f>
        <v>80.67114094</v>
      </c>
      <c r="P29" s="1"/>
      <c r="Q29" s="1"/>
      <c r="R29" s="1"/>
      <c r="S29" s="1"/>
      <c r="T29" s="1"/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62"/>
      <c r="K30" s="62"/>
      <c r="L30" s="62"/>
      <c r="M30" s="62"/>
      <c r="N30" s="62"/>
      <c r="O30" s="62"/>
      <c r="P30" s="1"/>
      <c r="Q30" s="19"/>
      <c r="R30" s="1"/>
      <c r="S30" s="1"/>
      <c r="T30" s="1"/>
      <c r="U30" s="1"/>
      <c r="V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62"/>
      <c r="K31" s="62"/>
      <c r="L31" s="62"/>
      <c r="M31" s="62"/>
      <c r="N31" s="62" t="s">
        <v>111</v>
      </c>
      <c r="O31" s="76">
        <f>27000-N16</f>
        <v>26040</v>
      </c>
      <c r="P31" s="1"/>
      <c r="Q31" s="19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62" t="s">
        <v>113</v>
      </c>
      <c r="O32" s="76">
        <f>O31/M18</f>
        <v>87.38255034</v>
      </c>
      <c r="P32" s="1"/>
      <c r="Q32" s="1"/>
      <c r="R32" s="1"/>
      <c r="S32" s="1"/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62"/>
      <c r="K33" s="62"/>
      <c r="L33" s="62"/>
      <c r="M33" s="62"/>
      <c r="N33" s="62"/>
      <c r="O33" s="62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62"/>
      <c r="K34" s="62"/>
      <c r="L34" s="62"/>
      <c r="M34" s="62"/>
      <c r="N34" s="62"/>
      <c r="O34" s="62"/>
      <c r="P34" s="1"/>
      <c r="Q34" s="1"/>
      <c r="R34" s="1"/>
      <c r="S34" s="1"/>
      <c r="T34" s="1"/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62" t="s">
        <v>107</v>
      </c>
      <c r="K35" s="62"/>
      <c r="L35" s="76">
        <f>P17/J21</f>
        <v>0</v>
      </c>
      <c r="M35" s="62"/>
      <c r="N35" s="62"/>
      <c r="O35" s="62"/>
      <c r="P35" s="1"/>
      <c r="Q35" s="1"/>
      <c r="R35" s="1"/>
      <c r="S35" s="1"/>
      <c r="T35" s="1"/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/>
      <c r="K36" s="62" t="s">
        <v>108</v>
      </c>
      <c r="L36" s="62" t="s">
        <v>109</v>
      </c>
      <c r="M36" s="62" t="s">
        <v>110</v>
      </c>
      <c r="N36" s="62"/>
      <c r="O36" s="62"/>
      <c r="P36" s="1"/>
      <c r="Q36" s="1"/>
      <c r="R36" s="1"/>
      <c r="S36" s="1"/>
      <c r="T36" s="1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 t="s">
        <v>112</v>
      </c>
      <c r="K37" s="62">
        <v>603.0</v>
      </c>
      <c r="L37" s="62">
        <v>630.0</v>
      </c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/>
      <c r="K38" s="62">
        <v>505.0</v>
      </c>
      <c r="L38" s="62">
        <v>621.0</v>
      </c>
      <c r="M38" s="62"/>
      <c r="N38" s="62"/>
      <c r="O38" s="62"/>
      <c r="P38" s="1"/>
      <c r="Q38" s="1"/>
      <c r="R38" s="1"/>
      <c r="S38" s="1"/>
      <c r="T38" s="1"/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721.0</v>
      </c>
      <c r="L39" s="62">
        <v>611.0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568.0</v>
      </c>
      <c r="L40" s="62">
        <v>608.0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590.0</v>
      </c>
      <c r="L41" s="62">
        <v>541.0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/>
      <c r="L42" s="62">
        <v>591.0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>
        <f>SUM(K37:K41)</f>
        <v>2987</v>
      </c>
      <c r="L43" s="62">
        <f>3*SUM(L37:L42)</f>
        <v>10806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SUM(K43:M43)</f>
        <v>13793</v>
      </c>
      <c r="L44" s="62"/>
      <c r="M44" s="62"/>
      <c r="N44" s="1"/>
      <c r="O44" s="1"/>
      <c r="P44" s="1"/>
      <c r="Q44" s="1"/>
      <c r="R44" s="1"/>
      <c r="S44" s="1"/>
      <c r="T44" s="1"/>
      <c r="U44" s="1"/>
      <c r="V44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1:O21"/>
    <mergeCell ref="N20:O20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100.0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98.0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98.0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28392</v>
      </c>
      <c r="O10" s="41">
        <f>K3*M3+K6*M6+K9*M9+M12*K12</f>
        <v>31944</v>
      </c>
      <c r="P10" s="41">
        <f>M3*L3+M6*L6+M9*L9+M12*L12</f>
        <v>16270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50"/>
      <c r="O16" s="1"/>
      <c r="P16" s="54">
        <f>SUM(N10:P10)+M16</f>
        <v>76606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1064.8</v>
      </c>
      <c r="R17" s="20">
        <f>M3*H3+M6*H6+M9*H9+(N16/2)</f>
        <v>10648</v>
      </c>
      <c r="S17" s="55">
        <f>M3*F4+F7*M6+F10*M9</f>
        <v>946.4</v>
      </c>
      <c r="T17" s="57">
        <f>M3*H4+H7*M6+H11*M9+(N16/2)</f>
        <v>7896</v>
      </c>
      <c r="U17" s="9">
        <f>M3*F5+F8*M6+F11*M9</f>
        <v>532.4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296</v>
      </c>
      <c r="N18" s="1"/>
      <c r="O18" s="1" t="s">
        <v>79</v>
      </c>
      <c r="P18" s="19">
        <f>SUM(N10:P10)</f>
        <v>76606</v>
      </c>
      <c r="Q18" s="5" t="s">
        <v>80</v>
      </c>
      <c r="R18" s="20">
        <f>R17*0.1</f>
        <v>1064.8</v>
      </c>
      <c r="S18" s="55"/>
      <c r="T18" s="57">
        <f>T17*0.1</f>
        <v>789.6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258.8040541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20398.4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/>
      <c r="J22" s="72">
        <v>0.25</v>
      </c>
      <c r="K22" s="52">
        <f>I22*J22</f>
        <v>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0</v>
      </c>
      <c r="L27" s="72"/>
      <c r="M27" s="75">
        <f>0.09*I22</f>
        <v>0</v>
      </c>
      <c r="N27" s="72"/>
      <c r="O27" s="76" t="s">
        <v>97</v>
      </c>
      <c r="P27" s="77">
        <f>N10/P19</f>
        <v>109.7046184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0</v>
      </c>
      <c r="L28" s="72"/>
      <c r="M28" s="75">
        <f>0.12*I22</f>
        <v>0</v>
      </c>
      <c r="N28" s="72"/>
      <c r="O28" s="76" t="s">
        <v>99</v>
      </c>
      <c r="P28" s="77">
        <f>O10/P19</f>
        <v>123.4292875</v>
      </c>
      <c r="Q28" s="1"/>
      <c r="R28" s="1"/>
      <c r="S28" s="70" t="s">
        <v>89</v>
      </c>
      <c r="T28" s="73">
        <f>P17-T21</f>
        <v>-20398.4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0</v>
      </c>
      <c r="L29" s="72"/>
      <c r="M29" s="75">
        <f>0.06*I22</f>
        <v>0</v>
      </c>
      <c r="N29" s="72"/>
      <c r="O29" s="76" t="s">
        <v>49</v>
      </c>
      <c r="P29" s="77">
        <f>P10/P19</f>
        <v>62.86609404</v>
      </c>
      <c r="Q29" s="1"/>
      <c r="R29" s="1"/>
      <c r="S29" s="1" t="s">
        <v>90</v>
      </c>
      <c r="T29" s="19">
        <f>P17-T21-Q22</f>
        <v>-20398.4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 t="str">
        <f>K31/I22</f>
        <v>#DIV/0!</v>
      </c>
      <c r="M30" s="75">
        <f>0.04*I22</f>
        <v>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0</v>
      </c>
      <c r="L31" s="72"/>
      <c r="M31" s="78">
        <f>SUM(M27:M30)</f>
        <v>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 t="str">
        <f>P19/I22</f>
        <v>#DIV/0!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9.11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0.33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15.0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1"/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140.0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120.0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20.0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25440</v>
      </c>
      <c r="O10" s="41">
        <f>K3*M3+K6*M6+K9*M9+M12*K12</f>
        <v>28800</v>
      </c>
      <c r="P10" s="41">
        <f>M3*L3+M6*L6+M9*L9+M12*L12</f>
        <v>14800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50"/>
      <c r="O16" s="1"/>
      <c r="P16" s="54">
        <f>SUM(N10:P10)+M16</f>
        <v>69040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1"/>
      <c r="P17" s="56"/>
      <c r="Q17" s="5">
        <f>M3*F3+M6*F6+M9*F9</f>
        <v>960</v>
      </c>
      <c r="R17" s="20">
        <f>M3*H3+M6*H6+M9*H9+(N16/2)</f>
        <v>9600</v>
      </c>
      <c r="S17" s="55">
        <f>M3*F4+F7*M6+F10*M9</f>
        <v>848</v>
      </c>
      <c r="T17" s="57">
        <f>M3*H4+H7*M6+H11*M9+(N16/2)</f>
        <v>8160</v>
      </c>
      <c r="U17" s="9">
        <f>M3*F5+F8*M6+F11*M9</f>
        <v>480</v>
      </c>
      <c r="V17" s="58">
        <f>H5*L3+H8*L6+H11*L9</f>
        <v>2990</v>
      </c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78</v>
      </c>
      <c r="M18" s="23">
        <f>SUM(M3:M14)</f>
        <v>280</v>
      </c>
      <c r="N18" s="1"/>
      <c r="O18" s="1" t="s">
        <v>79</v>
      </c>
      <c r="P18" s="19">
        <f>SUM(N10:P10)</f>
        <v>69040</v>
      </c>
      <c r="Q18" s="5" t="s">
        <v>80</v>
      </c>
      <c r="R18" s="20">
        <f>R17*0.1</f>
        <v>960</v>
      </c>
      <c r="S18" s="55"/>
      <c r="T18" s="57">
        <f>T17*0.1</f>
        <v>816</v>
      </c>
      <c r="U18" s="9"/>
      <c r="V18" s="60">
        <f>V17*0.1</f>
        <v>299</v>
      </c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62"/>
      <c r="K19" s="62"/>
      <c r="L19" s="62"/>
      <c r="M19" s="63"/>
      <c r="N19" s="1"/>
      <c r="O19" s="1" t="s">
        <v>81</v>
      </c>
      <c r="P19" s="19">
        <f>P18/M18</f>
        <v>246.5714286</v>
      </c>
      <c r="Q19" s="5"/>
      <c r="R19" s="5"/>
      <c r="S19" s="55"/>
      <c r="T19" s="55"/>
      <c r="U19" s="9"/>
      <c r="V19" s="9"/>
    </row>
    <row r="20" ht="15.0" customHeight="1">
      <c r="A20" s="1"/>
      <c r="B20" s="1"/>
      <c r="C20" s="1"/>
      <c r="D20" s="1"/>
      <c r="E20" s="1"/>
      <c r="F20" s="1"/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"/>
      <c r="O21" s="1"/>
      <c r="P21" s="19"/>
      <c r="Q21" s="67">
        <v>0.08</v>
      </c>
      <c r="R21" s="1"/>
      <c r="S21" s="1"/>
      <c r="T21" s="19">
        <f>SUM(R17:R18)+SUM(T17:T18)</f>
        <v>19536</v>
      </c>
      <c r="U21" s="1"/>
      <c r="V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71"/>
      <c r="J22" s="72">
        <v>0.25</v>
      </c>
      <c r="K22" s="52">
        <f>I22*J22</f>
        <v>0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72" t="s">
        <v>95</v>
      </c>
      <c r="J27" s="72" t="s">
        <v>26</v>
      </c>
      <c r="K27" s="72">
        <f>I22*0.1</f>
        <v>0</v>
      </c>
      <c r="L27" s="72"/>
      <c r="M27" s="75">
        <f>0.09*I22</f>
        <v>0</v>
      </c>
      <c r="N27" s="72"/>
      <c r="O27" s="76" t="s">
        <v>97</v>
      </c>
      <c r="P27" s="77">
        <f>N10/P19</f>
        <v>103.174971</v>
      </c>
      <c r="Q27" s="1"/>
      <c r="R27" s="19"/>
      <c r="S27" s="1"/>
      <c r="T27" s="1"/>
      <c r="U27" s="1"/>
      <c r="V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72" t="s">
        <v>98</v>
      </c>
      <c r="J28" s="72" t="s">
        <v>25</v>
      </c>
      <c r="K28" s="72">
        <f>I22*0.14</f>
        <v>0</v>
      </c>
      <c r="L28" s="72"/>
      <c r="M28" s="75">
        <f>0.12*I22</f>
        <v>0</v>
      </c>
      <c r="N28" s="72"/>
      <c r="O28" s="76" t="s">
        <v>99</v>
      </c>
      <c r="P28" s="77">
        <f>O10/P19</f>
        <v>116.801854</v>
      </c>
      <c r="Q28" s="1"/>
      <c r="R28" s="1"/>
      <c r="S28" s="70" t="s">
        <v>89</v>
      </c>
      <c r="T28" s="73">
        <f>P17-T21</f>
        <v>-19536</v>
      </c>
      <c r="U28" s="1"/>
      <c r="V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72" t="s">
        <v>100</v>
      </c>
      <c r="J29" s="72" t="s">
        <v>101</v>
      </c>
      <c r="K29" s="72">
        <f>I22*0.06</f>
        <v>0</v>
      </c>
      <c r="L29" s="72"/>
      <c r="M29" s="75">
        <f>0.06*I22</f>
        <v>0</v>
      </c>
      <c r="N29" s="72"/>
      <c r="O29" s="76" t="s">
        <v>49</v>
      </c>
      <c r="P29" s="77">
        <f>P10/P19</f>
        <v>60.02317497</v>
      </c>
      <c r="Q29" s="1"/>
      <c r="R29" s="1"/>
      <c r="S29" s="1" t="s">
        <v>90</v>
      </c>
      <c r="T29" s="19">
        <f>P17-T21-Q22</f>
        <v>-19536</v>
      </c>
      <c r="U29" s="1"/>
      <c r="V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72"/>
      <c r="J30" s="72" t="s">
        <v>102</v>
      </c>
      <c r="K30" s="1"/>
      <c r="L30" s="72" t="str">
        <f>K31/I22</f>
        <v>#DIV/0!</v>
      </c>
      <c r="M30" s="75">
        <f>0.04*I22</f>
        <v>0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/>
      <c r="G31" s="1"/>
      <c r="H31" s="1"/>
      <c r="I31" s="72"/>
      <c r="J31" s="72" t="s">
        <v>103</v>
      </c>
      <c r="K31" s="78">
        <f>SUM(K27:K29)</f>
        <v>0</v>
      </c>
      <c r="L31" s="72"/>
      <c r="M31" s="78">
        <f>SUM(M27:M30)</f>
        <v>0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1"/>
      <c r="O34" s="1"/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62" t="s">
        <v>107</v>
      </c>
      <c r="K36" s="62"/>
      <c r="L36" s="76" t="str">
        <f>P19/I22</f>
        <v>#DIV/0!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/>
      <c r="O39" s="62"/>
      <c r="P39" s="1"/>
      <c r="Q39" s="1"/>
      <c r="R39" s="1"/>
      <c r="S39" s="1"/>
      <c r="T39" s="1"/>
      <c r="U39" s="1"/>
      <c r="V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/>
      <c r="O40" s="62"/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/>
      <c r="O41" s="62"/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10.78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2.67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25.5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79" t="s">
        <v>114</v>
      </c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119.0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104.0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/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19980</v>
      </c>
      <c r="O10" s="41">
        <f>K3*M3+K6*M6+K9*M9+M12*K12</f>
        <v>22656</v>
      </c>
      <c r="P10" s="41">
        <f>M3*L3+M6*L6+M9*L9+M12*L12</f>
        <v>11670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80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/>
      <c r="M16" s="52">
        <f>K16*L16</f>
        <v>0</v>
      </c>
      <c r="N16" s="65"/>
      <c r="O16" s="1"/>
      <c r="P16" s="54">
        <f>SUM(N10:P10)+M16</f>
        <v>54306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 t="s">
        <v>115</v>
      </c>
      <c r="B17" s="1">
        <v>1.0</v>
      </c>
      <c r="C17" s="1">
        <v>2.0</v>
      </c>
      <c r="D17" s="1">
        <v>3.0</v>
      </c>
      <c r="E17" s="1" t="s">
        <v>116</v>
      </c>
      <c r="F17" s="1" t="s">
        <v>117</v>
      </c>
      <c r="G17" s="1"/>
      <c r="H17" s="1"/>
      <c r="I17" s="1"/>
      <c r="J17" s="1"/>
      <c r="K17" s="1"/>
      <c r="L17" s="1"/>
      <c r="M17" s="23"/>
      <c r="N17" s="3"/>
      <c r="O17" s="1"/>
      <c r="P17" s="41"/>
      <c r="Q17" s="5">
        <f>M3*F3+M6*F6+M9*F9</f>
        <v>755.2</v>
      </c>
      <c r="R17" s="20">
        <f>M3*H3+M6*H6+M9*H9+(N16/2)</f>
        <v>7552</v>
      </c>
      <c r="S17" s="55">
        <f>M3*F4+F7*M6+F10*M9</f>
        <v>666</v>
      </c>
      <c r="T17" s="57">
        <f>M3*H4+H7*M6+H11*M9+(N16/2)</f>
        <v>6660</v>
      </c>
      <c r="U17" s="9">
        <f>M3*F5+F8*M6+F11*M9</f>
        <v>377.6</v>
      </c>
      <c r="V17" s="58">
        <f>H5*L3+H8*L6+H11*L9</f>
        <v>2990</v>
      </c>
    </row>
    <row r="18" ht="15.0" customHeight="1">
      <c r="A18" s="1">
        <v>4.0</v>
      </c>
      <c r="B18" s="1">
        <v>0.0</v>
      </c>
      <c r="C18" s="1">
        <v>18.0</v>
      </c>
      <c r="D18" s="1">
        <v>0.0</v>
      </c>
      <c r="E18" s="1">
        <f t="shared" ref="E18:E29" si="4">SUM(B18:D18)</f>
        <v>18</v>
      </c>
      <c r="F18" s="1">
        <v>28170.0</v>
      </c>
      <c r="G18" s="1"/>
      <c r="H18" s="1"/>
      <c r="I18" s="1"/>
      <c r="J18" s="1"/>
      <c r="K18" s="1"/>
      <c r="L18" s="1" t="s">
        <v>78</v>
      </c>
      <c r="M18" s="23">
        <f>SUM(M3:M14)</f>
        <v>223</v>
      </c>
      <c r="N18" s="3"/>
      <c r="O18" s="1" t="s">
        <v>79</v>
      </c>
      <c r="P18" s="19">
        <f>SUM(N10:P10)</f>
        <v>54306</v>
      </c>
      <c r="Q18" s="5" t="s">
        <v>80</v>
      </c>
      <c r="R18" s="20">
        <f>R17*0.1</f>
        <v>755.2</v>
      </c>
      <c r="S18" s="55"/>
      <c r="T18" s="57">
        <f>T17*0.1</f>
        <v>666</v>
      </c>
      <c r="U18" s="9"/>
      <c r="V18" s="60">
        <f>V17*0.1</f>
        <v>299</v>
      </c>
    </row>
    <row r="19" ht="15.0" customHeight="1">
      <c r="A19" s="1">
        <v>6.0</v>
      </c>
      <c r="B19" s="1">
        <v>12.0</v>
      </c>
      <c r="C19" s="1">
        <v>6.0</v>
      </c>
      <c r="D19" s="1">
        <v>0.0</v>
      </c>
      <c r="E19" s="1">
        <f t="shared" si="4"/>
        <v>18</v>
      </c>
      <c r="F19" s="1">
        <v>24190.0</v>
      </c>
      <c r="G19" s="1"/>
      <c r="H19" s="1"/>
      <c r="I19" s="1"/>
      <c r="J19" s="62"/>
      <c r="K19" s="62"/>
      <c r="L19" s="62"/>
      <c r="M19" s="63"/>
      <c r="N19" s="3">
        <f>M19/M18</f>
        <v>0</v>
      </c>
      <c r="O19" s="1" t="s">
        <v>81</v>
      </c>
      <c r="P19" s="19">
        <f>P18/M18</f>
        <v>243.5246637</v>
      </c>
      <c r="Q19" s="5"/>
      <c r="R19" s="5"/>
      <c r="S19" s="55"/>
      <c r="T19" s="55"/>
      <c r="U19" s="9"/>
      <c r="V19" s="9"/>
    </row>
    <row r="20" ht="15.0" customHeight="1">
      <c r="A20" s="1">
        <v>9.0</v>
      </c>
      <c r="B20" s="1">
        <v>0.0</v>
      </c>
      <c r="C20" s="1">
        <v>10.0</v>
      </c>
      <c r="D20" s="1">
        <v>12.0</v>
      </c>
      <c r="E20" s="1">
        <f t="shared" si="4"/>
        <v>22</v>
      </c>
      <c r="F20" s="1">
        <v>36574.0</v>
      </c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>
        <v>10.0</v>
      </c>
      <c r="B21" s="1">
        <v>0.0</v>
      </c>
      <c r="C21" s="1">
        <v>10.0</v>
      </c>
      <c r="D21" s="1">
        <v>12.0</v>
      </c>
      <c r="E21" s="1">
        <f t="shared" si="4"/>
        <v>22</v>
      </c>
      <c r="F21" s="1">
        <v>36574.0</v>
      </c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9">
        <f>P16*0.63</f>
        <v>34212.78</v>
      </c>
      <c r="O21" s="1"/>
      <c r="P21" s="19"/>
      <c r="Q21" s="67">
        <v>0.08</v>
      </c>
      <c r="R21" s="1"/>
      <c r="S21" s="1"/>
      <c r="T21" s="19">
        <f>SUM(R17:R18)+SUM(T17:T18)</f>
        <v>15633.2</v>
      </c>
      <c r="U21" s="1"/>
      <c r="V21" s="1"/>
    </row>
    <row r="22" ht="15.0" customHeight="1">
      <c r="A22" s="1">
        <v>11.0</v>
      </c>
      <c r="B22" s="1">
        <v>12.0</v>
      </c>
      <c r="C22" s="1">
        <v>6.0</v>
      </c>
      <c r="D22" s="1">
        <v>0.0</v>
      </c>
      <c r="E22" s="1">
        <f t="shared" si="4"/>
        <v>18</v>
      </c>
      <c r="F22" s="1">
        <v>24190.0</v>
      </c>
      <c r="G22" s="1"/>
      <c r="H22" s="1"/>
      <c r="I22" s="71">
        <v>159746.0</v>
      </c>
      <c r="J22" s="72">
        <v>0.2</v>
      </c>
      <c r="K22" s="52">
        <f>I22*J22</f>
        <v>31949.2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>
        <v>12.0</v>
      </c>
      <c r="B23" s="1">
        <v>0.0</v>
      </c>
      <c r="C23" s="1">
        <v>18.0</v>
      </c>
      <c r="D23" s="1">
        <v>0.0</v>
      </c>
      <c r="E23" s="1">
        <f t="shared" si="4"/>
        <v>18</v>
      </c>
      <c r="F23" s="1">
        <v>28170.0</v>
      </c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>
        <v>14.0</v>
      </c>
      <c r="B24" s="1">
        <v>0.0</v>
      </c>
      <c r="C24" s="1">
        <v>2.0</v>
      </c>
      <c r="D24" s="1">
        <v>0.0</v>
      </c>
      <c r="E24" s="1">
        <f t="shared" si="4"/>
        <v>2</v>
      </c>
      <c r="F24" s="1">
        <v>5124.0</v>
      </c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>
        <v>15.0</v>
      </c>
      <c r="B25" s="1">
        <v>0.0</v>
      </c>
      <c r="C25" s="1">
        <v>2.0</v>
      </c>
      <c r="D25" s="1">
        <v>0.0</v>
      </c>
      <c r="E25" s="1">
        <f t="shared" si="4"/>
        <v>2</v>
      </c>
      <c r="F25" s="1">
        <v>5124.0</v>
      </c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>
        <v>16.0</v>
      </c>
      <c r="B26" s="1">
        <v>0.0</v>
      </c>
      <c r="C26" s="1">
        <v>2.0</v>
      </c>
      <c r="D26" s="1">
        <v>0.0</v>
      </c>
      <c r="E26" s="1">
        <f t="shared" si="4"/>
        <v>2</v>
      </c>
      <c r="F26" s="1">
        <v>5124.0</v>
      </c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>
        <v>17.0</v>
      </c>
      <c r="B27" s="1">
        <v>0.0</v>
      </c>
      <c r="C27" s="1">
        <v>2.0</v>
      </c>
      <c r="D27" s="1">
        <v>0.0</v>
      </c>
      <c r="E27" s="1">
        <f t="shared" si="4"/>
        <v>2</v>
      </c>
      <c r="F27" s="1">
        <v>5124.0</v>
      </c>
      <c r="G27" s="1"/>
      <c r="H27" s="1"/>
      <c r="I27" s="72" t="s">
        <v>95</v>
      </c>
      <c r="J27" s="72" t="s">
        <v>26</v>
      </c>
      <c r="K27" s="72">
        <f>I22*0.1</f>
        <v>15974.6</v>
      </c>
      <c r="L27" s="72"/>
      <c r="M27" s="75">
        <f>0.09*I22</f>
        <v>14377.14</v>
      </c>
      <c r="N27" s="72"/>
      <c r="O27" s="76" t="s">
        <v>97</v>
      </c>
      <c r="P27" s="77">
        <f>N10/P19</f>
        <v>82.04507789</v>
      </c>
      <c r="Q27" s="1"/>
      <c r="R27" s="19"/>
      <c r="S27" s="1"/>
      <c r="T27" s="1"/>
      <c r="U27" s="1"/>
      <c r="V27" s="1"/>
    </row>
    <row r="28" ht="15.0" customHeight="1">
      <c r="A28" s="1">
        <v>18.0</v>
      </c>
      <c r="B28" s="1">
        <v>0.0</v>
      </c>
      <c r="C28" s="1">
        <v>2.0</v>
      </c>
      <c r="D28" s="1">
        <v>0.0</v>
      </c>
      <c r="E28" s="1">
        <f t="shared" si="4"/>
        <v>2</v>
      </c>
      <c r="F28" s="1">
        <v>5124.0</v>
      </c>
      <c r="G28" s="1"/>
      <c r="H28" s="1"/>
      <c r="I28" s="72" t="s">
        <v>98</v>
      </c>
      <c r="J28" s="72" t="s">
        <v>25</v>
      </c>
      <c r="K28" s="72">
        <f>I22*0.14</f>
        <v>22364.44</v>
      </c>
      <c r="L28" s="72"/>
      <c r="M28" s="75">
        <f>0.12*I22</f>
        <v>19169.52</v>
      </c>
      <c r="N28" s="72"/>
      <c r="O28" s="76" t="s">
        <v>99</v>
      </c>
      <c r="P28" s="77">
        <f>O10/P19</f>
        <v>93.03369793</v>
      </c>
      <c r="Q28" s="1"/>
      <c r="R28" s="1"/>
      <c r="S28" s="70" t="s">
        <v>89</v>
      </c>
      <c r="T28" s="73">
        <f>P17-T21</f>
        <v>-15633.2</v>
      </c>
      <c r="U28" s="1"/>
      <c r="V28" s="1"/>
    </row>
    <row r="29" ht="15.0" customHeight="1">
      <c r="A29" s="1">
        <v>19.0</v>
      </c>
      <c r="B29" s="1">
        <v>0.0</v>
      </c>
      <c r="C29" s="1">
        <v>2.0</v>
      </c>
      <c r="D29" s="1">
        <v>0.0</v>
      </c>
      <c r="E29" s="1">
        <f t="shared" si="4"/>
        <v>2</v>
      </c>
      <c r="F29" s="1">
        <v>5124.0</v>
      </c>
      <c r="G29" s="1"/>
      <c r="H29" s="1"/>
      <c r="I29" s="72" t="s">
        <v>100</v>
      </c>
      <c r="J29" s="72" t="s">
        <v>101</v>
      </c>
      <c r="K29" s="72">
        <f>I22*0.06</f>
        <v>9584.76</v>
      </c>
      <c r="L29" s="72"/>
      <c r="M29" s="75">
        <f>0.06*I22</f>
        <v>9584.76</v>
      </c>
      <c r="N29" s="72"/>
      <c r="O29" s="76" t="s">
        <v>49</v>
      </c>
      <c r="P29" s="77">
        <f>P10/P19</f>
        <v>47.92122417</v>
      </c>
      <c r="Q29" s="1"/>
      <c r="R29" s="1"/>
      <c r="S29" s="1" t="s">
        <v>90</v>
      </c>
      <c r="T29" s="19">
        <f>P17-T21-Q22</f>
        <v>-15633.2</v>
      </c>
      <c r="U29" s="1"/>
      <c r="V29" s="1"/>
    </row>
    <row r="30" ht="15.0" customHeight="1">
      <c r="A30" s="1" t="s">
        <v>118</v>
      </c>
      <c r="B30" s="1"/>
      <c r="C30" s="1"/>
      <c r="D30" s="1"/>
      <c r="E30" s="1"/>
      <c r="F30" s="1">
        <v>5874.0</v>
      </c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6389.84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>
        <v>853.0</v>
      </c>
      <c r="G31" s="1"/>
      <c r="H31" s="1"/>
      <c r="I31" s="72"/>
      <c r="J31" s="72" t="s">
        <v>103</v>
      </c>
      <c r="K31" s="78">
        <f>SUM(K27:K29)</f>
        <v>47923.8</v>
      </c>
      <c r="L31" s="72"/>
      <c r="M31" s="78">
        <f>SUM(M27:M30)</f>
        <v>49521.26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>
        <v>407.0</v>
      </c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>
        <v>1.0</v>
      </c>
      <c r="B33" s="1"/>
      <c r="C33" s="1"/>
      <c r="D33" s="1"/>
      <c r="E33" s="1"/>
      <c r="F33" s="1"/>
      <c r="G33" s="1" t="s">
        <v>119</v>
      </c>
      <c r="H33" s="19">
        <f>J22</f>
        <v>0.2</v>
      </c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>
        <v>2.0</v>
      </c>
      <c r="B34" s="1"/>
      <c r="C34" s="1"/>
      <c r="D34" s="1" t="s">
        <v>120</v>
      </c>
      <c r="E34" s="1">
        <f>SUM(E36,E35)</f>
        <v>19</v>
      </c>
      <c r="F34" s="1"/>
      <c r="G34" s="1" t="s">
        <v>121</v>
      </c>
      <c r="H34" s="19">
        <f>I22*0.066</f>
        <v>10543.236</v>
      </c>
      <c r="I34" s="1"/>
      <c r="J34" s="1"/>
      <c r="K34" s="1"/>
      <c r="L34" s="1"/>
      <c r="M34" s="3" t="s">
        <v>122</v>
      </c>
      <c r="N34" s="19">
        <f>K31*0.63</f>
        <v>30191.994</v>
      </c>
      <c r="O34" s="1" t="s">
        <v>123</v>
      </c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>
        <v>3.0</v>
      </c>
      <c r="B35" s="1"/>
      <c r="C35" s="1"/>
      <c r="D35" s="1" t="s">
        <v>124</v>
      </c>
      <c r="E35" s="1">
        <f>COUNTA(A33:A39)</f>
        <v>7</v>
      </c>
      <c r="F35" s="1"/>
      <c r="G35" s="1" t="s">
        <v>125</v>
      </c>
      <c r="H35" s="19">
        <f>I22*0.093</f>
        <v>14856.378</v>
      </c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>
        <v>5.0</v>
      </c>
      <c r="B36" s="1"/>
      <c r="C36" s="1"/>
      <c r="D36" s="1" t="s">
        <v>126</v>
      </c>
      <c r="E36" s="1">
        <f>COUNTA(A18:A29)</f>
        <v>12</v>
      </c>
      <c r="F36" s="1">
        <f>E36/E34</f>
        <v>0.6315789474</v>
      </c>
      <c r="G36" s="1" t="s">
        <v>127</v>
      </c>
      <c r="H36" s="19">
        <f>I22*0.04</f>
        <v>6389.84</v>
      </c>
      <c r="I36" s="1"/>
      <c r="J36" s="62" t="s">
        <v>107</v>
      </c>
      <c r="K36" s="62"/>
      <c r="L36" s="76">
        <f>P19/I22</f>
        <v>0.001524449211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>
        <v>7.0</v>
      </c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>
        <v>8.0</v>
      </c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>
        <v>13.0</v>
      </c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 t="s">
        <v>128</v>
      </c>
      <c r="O39" s="62">
        <v>90.0</v>
      </c>
      <c r="P39" s="1"/>
      <c r="Q39" s="1"/>
      <c r="R39" s="1"/>
      <c r="S39" s="1"/>
      <c r="T39" s="1"/>
      <c r="U39" s="1"/>
      <c r="V39" s="1"/>
    </row>
    <row r="40" ht="15.0" customHeight="1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 t="s">
        <v>99</v>
      </c>
      <c r="O40" s="62">
        <v>130.0</v>
      </c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 t="s">
        <v>49</v>
      </c>
      <c r="O41" s="62">
        <v>70.0</v>
      </c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M12:M14"/>
    <mergeCell ref="S15:T15"/>
    <mergeCell ref="Q15:R15"/>
    <mergeCell ref="U15:V15"/>
    <mergeCell ref="M6:M8"/>
    <mergeCell ref="M3:M5"/>
    <mergeCell ref="L3:L5"/>
    <mergeCell ref="L6:L8"/>
    <mergeCell ref="L9:L11"/>
    <mergeCell ref="L12:L14"/>
    <mergeCell ref="M9:M11"/>
    <mergeCell ref="N23:O23"/>
    <mergeCell ref="N22:O22"/>
  </mergeCell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9.11"/>
    <col customWidth="1" min="2" max="2" width="11.44"/>
    <col customWidth="1" min="3" max="3" width="9.11"/>
    <col customWidth="1" min="4" max="4" width="12.44"/>
    <col customWidth="1" min="5" max="5" width="9.11"/>
    <col customWidth="1" min="6" max="6" width="12.78"/>
    <col customWidth="1" min="7" max="7" width="10.78"/>
    <col customWidth="1" min="8" max="8" width="12.33"/>
    <col customWidth="1" min="9" max="9" width="15.44"/>
    <col customWidth="1" min="10" max="10" width="10.44"/>
    <col customWidth="1" min="11" max="12" width="12.78"/>
    <col customWidth="1" min="13" max="13" width="22.67"/>
    <col customWidth="1" min="14" max="14" width="28.44"/>
    <col customWidth="1" min="15" max="15" width="13.44"/>
    <col customWidth="1" min="16" max="16" width="28.44"/>
    <col customWidth="1" min="17" max="17" width="17.33"/>
    <col customWidth="1" min="18" max="18" width="12.67"/>
    <col customWidth="1" min="19" max="19" width="29.11"/>
    <col customWidth="1" min="20" max="20" width="14.33"/>
    <col customWidth="1" min="21" max="21" width="13.78"/>
    <col customWidth="1" min="22" max="22" width="12.11"/>
  </cols>
  <sheetData>
    <row r="1" ht="25.5" customHeigh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/>
      <c r="L1" s="3"/>
      <c r="M1" s="3" t="s">
        <v>24</v>
      </c>
      <c r="N1" s="3" t="s">
        <v>26</v>
      </c>
      <c r="O1" s="3" t="s">
        <v>25</v>
      </c>
      <c r="P1" s="3" t="s">
        <v>49</v>
      </c>
      <c r="Q1" s="79" t="s">
        <v>114</v>
      </c>
      <c r="R1" s="1"/>
      <c r="S1" s="1"/>
      <c r="T1" s="1"/>
      <c r="U1" s="1"/>
      <c r="V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7" t="s">
        <v>26</v>
      </c>
      <c r="K2" s="5" t="s">
        <v>25</v>
      </c>
      <c r="L2" s="9" t="s">
        <v>29</v>
      </c>
      <c r="M2" s="23"/>
      <c r="N2" s="3"/>
      <c r="O2" s="3"/>
      <c r="P2" s="1"/>
      <c r="Q2" s="1"/>
      <c r="R2" s="1"/>
      <c r="S2" s="1"/>
      <c r="T2" s="1"/>
      <c r="U2" s="1"/>
      <c r="V2" s="1"/>
    </row>
    <row r="3" ht="15.75" customHeight="1">
      <c r="A3" s="12" t="s">
        <v>25</v>
      </c>
      <c r="B3" s="14">
        <v>4.0</v>
      </c>
      <c r="C3" s="1">
        <v>8.0</v>
      </c>
      <c r="D3" s="1">
        <f t="shared" ref="D3:D11" si="1">$B$3*C3</f>
        <v>32</v>
      </c>
      <c r="E3" s="14">
        <v>10.0</v>
      </c>
      <c r="F3" s="1">
        <f t="shared" ref="F3:F14" si="2">D3/E$3</f>
        <v>3.2</v>
      </c>
      <c r="G3" s="17">
        <v>10.0</v>
      </c>
      <c r="H3" s="19">
        <f t="shared" ref="H3:H14" si="3">F3*G$3</f>
        <v>32</v>
      </c>
      <c r="I3" s="14">
        <v>1.0</v>
      </c>
      <c r="J3" s="7"/>
      <c r="K3" s="20">
        <f>H3*3</f>
        <v>96</v>
      </c>
      <c r="L3" s="21">
        <v>50.0</v>
      </c>
      <c r="M3" s="40">
        <v>150.0</v>
      </c>
      <c r="N3" s="3"/>
      <c r="O3" s="3"/>
      <c r="P3" s="1"/>
      <c r="Q3" s="16"/>
      <c r="R3" s="16"/>
      <c r="S3" s="16"/>
      <c r="T3" s="16"/>
      <c r="U3" s="16"/>
      <c r="V3" s="16"/>
    </row>
    <row r="4" ht="15.0" customHeight="1">
      <c r="A4" s="3" t="s">
        <v>26</v>
      </c>
      <c r="B4" s="14"/>
      <c r="C4" s="3">
        <v>7.0</v>
      </c>
      <c r="D4" s="3">
        <f t="shared" si="1"/>
        <v>28</v>
      </c>
      <c r="E4" s="14"/>
      <c r="F4" s="3">
        <f t="shared" si="2"/>
        <v>2.8</v>
      </c>
      <c r="G4" s="17"/>
      <c r="H4" s="19">
        <f t="shared" si="3"/>
        <v>28</v>
      </c>
      <c r="I4" s="14"/>
      <c r="J4" s="24">
        <f>H4*3</f>
        <v>84</v>
      </c>
      <c r="K4" s="5"/>
      <c r="L4" s="26"/>
      <c r="M4" s="32"/>
      <c r="N4" s="3"/>
      <c r="O4" s="3"/>
      <c r="P4" s="3"/>
      <c r="Q4" s="16"/>
      <c r="R4" s="16"/>
      <c r="S4" s="16"/>
      <c r="T4" s="16"/>
      <c r="U4" s="16"/>
      <c r="V4" s="16"/>
    </row>
    <row r="5" ht="15.0" customHeight="1">
      <c r="A5" s="27"/>
      <c r="B5" s="28"/>
      <c r="C5" s="27">
        <v>4.0</v>
      </c>
      <c r="D5" s="27">
        <f t="shared" si="1"/>
        <v>16</v>
      </c>
      <c r="E5" s="28"/>
      <c r="F5" s="27">
        <f t="shared" si="2"/>
        <v>1.6</v>
      </c>
      <c r="G5" s="30"/>
      <c r="H5" s="31">
        <f t="shared" si="3"/>
        <v>16</v>
      </c>
      <c r="I5" s="28"/>
      <c r="J5" s="34"/>
      <c r="K5" s="33"/>
      <c r="L5" s="35"/>
      <c r="M5" s="32"/>
      <c r="N5" s="27"/>
      <c r="O5" s="27"/>
      <c r="P5" s="27"/>
      <c r="Q5" s="36"/>
      <c r="R5" s="36"/>
      <c r="S5" s="36"/>
      <c r="T5" s="36"/>
      <c r="U5" s="36"/>
      <c r="V5" s="36"/>
    </row>
    <row r="6" ht="15.0" customHeight="1">
      <c r="A6" s="12" t="s">
        <v>25</v>
      </c>
      <c r="B6" s="1"/>
      <c r="C6" s="1">
        <v>9.0</v>
      </c>
      <c r="D6" s="1">
        <f t="shared" si="1"/>
        <v>36</v>
      </c>
      <c r="E6" s="14"/>
      <c r="F6" s="1">
        <f t="shared" si="2"/>
        <v>3.6</v>
      </c>
      <c r="G6" s="17"/>
      <c r="H6" s="19">
        <f t="shared" si="3"/>
        <v>36</v>
      </c>
      <c r="I6" s="14">
        <v>2.0</v>
      </c>
      <c r="J6" s="24"/>
      <c r="K6" s="20">
        <f>H6*3</f>
        <v>108</v>
      </c>
      <c r="L6" s="37">
        <v>55.0</v>
      </c>
      <c r="M6" s="40">
        <v>150.0</v>
      </c>
      <c r="N6" s="3"/>
      <c r="O6" s="3"/>
      <c r="P6" s="1"/>
      <c r="Q6" s="1"/>
      <c r="R6" s="1"/>
      <c r="S6" s="1"/>
      <c r="T6" s="1"/>
      <c r="U6" s="1"/>
      <c r="V6" s="1"/>
    </row>
    <row r="7" ht="15.0" customHeight="1">
      <c r="A7" s="3" t="s">
        <v>26</v>
      </c>
      <c r="B7" s="3"/>
      <c r="C7" s="3">
        <v>8.0</v>
      </c>
      <c r="D7" s="3">
        <f t="shared" si="1"/>
        <v>32</v>
      </c>
      <c r="E7" s="14"/>
      <c r="F7" s="3">
        <f t="shared" si="2"/>
        <v>3.2</v>
      </c>
      <c r="G7" s="17"/>
      <c r="H7" s="19">
        <f t="shared" si="3"/>
        <v>32</v>
      </c>
      <c r="I7" s="14"/>
      <c r="J7" s="24">
        <f>H7*3</f>
        <v>96</v>
      </c>
      <c r="K7" s="20"/>
      <c r="L7" s="26"/>
      <c r="M7" s="32"/>
      <c r="N7" s="3"/>
      <c r="O7" s="3"/>
      <c r="P7" s="3"/>
      <c r="Q7" s="3"/>
      <c r="R7" s="3"/>
      <c r="S7" s="3"/>
      <c r="T7" s="3"/>
      <c r="U7" s="3"/>
      <c r="V7" s="3"/>
    </row>
    <row r="8" ht="15.0" customHeight="1">
      <c r="A8" s="27"/>
      <c r="B8" s="27"/>
      <c r="C8" s="27">
        <v>4.5</v>
      </c>
      <c r="D8" s="27">
        <f t="shared" si="1"/>
        <v>18</v>
      </c>
      <c r="E8" s="28"/>
      <c r="F8" s="27">
        <f t="shared" si="2"/>
        <v>1.8</v>
      </c>
      <c r="G8" s="30"/>
      <c r="H8" s="31">
        <f t="shared" si="3"/>
        <v>18</v>
      </c>
      <c r="I8" s="28"/>
      <c r="J8" s="34"/>
      <c r="K8" s="39"/>
      <c r="L8" s="35"/>
      <c r="M8" s="32"/>
      <c r="N8" s="27"/>
      <c r="O8" s="27"/>
      <c r="P8" s="27"/>
      <c r="Q8" s="27"/>
      <c r="R8" s="27"/>
      <c r="S8" s="27"/>
      <c r="T8" s="27"/>
      <c r="U8" s="27"/>
      <c r="V8" s="27"/>
    </row>
    <row r="9" ht="15.0" customHeight="1">
      <c r="A9" s="12" t="s">
        <v>25</v>
      </c>
      <c r="B9" s="1"/>
      <c r="C9" s="1">
        <v>10.0</v>
      </c>
      <c r="D9" s="1">
        <f t="shared" si="1"/>
        <v>40</v>
      </c>
      <c r="E9" s="14"/>
      <c r="F9" s="1">
        <f t="shared" si="2"/>
        <v>4</v>
      </c>
      <c r="G9" s="17"/>
      <c r="H9" s="19">
        <f t="shared" si="3"/>
        <v>40</v>
      </c>
      <c r="I9" s="14">
        <v>3.0</v>
      </c>
      <c r="J9" s="24"/>
      <c r="K9" s="20">
        <f>H9*3</f>
        <v>120</v>
      </c>
      <c r="L9" s="37">
        <v>60.0</v>
      </c>
      <c r="M9" s="40">
        <v>117.0</v>
      </c>
      <c r="N9" s="3"/>
      <c r="O9" s="3"/>
      <c r="P9" s="1"/>
      <c r="Q9" s="1"/>
      <c r="R9" s="1"/>
      <c r="S9" s="1"/>
      <c r="T9" s="1"/>
      <c r="U9" s="1"/>
      <c r="V9" s="1"/>
    </row>
    <row r="10" ht="18.0" customHeight="1">
      <c r="A10" s="3" t="s">
        <v>26</v>
      </c>
      <c r="B10" s="3"/>
      <c r="C10" s="3">
        <v>9.0</v>
      </c>
      <c r="D10" s="3">
        <f t="shared" si="1"/>
        <v>36</v>
      </c>
      <c r="E10" s="14"/>
      <c r="F10" s="3">
        <f t="shared" si="2"/>
        <v>3.6</v>
      </c>
      <c r="G10" s="17"/>
      <c r="H10" s="19">
        <f t="shared" si="3"/>
        <v>36</v>
      </c>
      <c r="I10" s="14"/>
      <c r="J10" s="24">
        <f>H10*3</f>
        <v>108</v>
      </c>
      <c r="K10" s="20"/>
      <c r="L10" s="26"/>
      <c r="M10" s="32"/>
      <c r="N10" s="41">
        <f>M3*J4+M6*J7+M9*J10+M12*J13</f>
        <v>39636</v>
      </c>
      <c r="O10" s="41">
        <f>K3*M3+K6*M6+K9*M9+M12*K12</f>
        <v>44640</v>
      </c>
      <c r="P10" s="41">
        <f>M3*L3+M6*L6+M9*L9+M12*L12</f>
        <v>22770</v>
      </c>
      <c r="Q10" s="3"/>
      <c r="R10" s="3"/>
      <c r="S10" s="3"/>
      <c r="T10" s="3"/>
      <c r="U10" s="3"/>
      <c r="V10" s="3"/>
    </row>
    <row r="11" ht="18.0" customHeight="1">
      <c r="A11" s="27"/>
      <c r="B11" s="27"/>
      <c r="C11" s="27">
        <v>5.0</v>
      </c>
      <c r="D11" s="27">
        <f t="shared" si="1"/>
        <v>20</v>
      </c>
      <c r="E11" s="28"/>
      <c r="F11" s="27">
        <f t="shared" si="2"/>
        <v>2</v>
      </c>
      <c r="G11" s="30"/>
      <c r="H11" s="31">
        <f t="shared" si="3"/>
        <v>20</v>
      </c>
      <c r="I11" s="28"/>
      <c r="J11" s="34"/>
      <c r="K11" s="39"/>
      <c r="L11" s="35"/>
      <c r="M11" s="32"/>
      <c r="N11" s="42"/>
      <c r="O11" s="27"/>
      <c r="P11" s="42"/>
      <c r="Q11" s="27"/>
      <c r="R11" s="27"/>
      <c r="S11" s="27"/>
      <c r="T11" s="27"/>
      <c r="U11" s="27"/>
      <c r="V11" s="27"/>
    </row>
    <row r="12" ht="18.0" customHeight="1">
      <c r="A12" s="3"/>
      <c r="B12" s="3"/>
      <c r="C12" s="1">
        <v>11.0</v>
      </c>
      <c r="D12" s="3">
        <v>44.0</v>
      </c>
      <c r="E12" s="14"/>
      <c r="F12" s="1">
        <f t="shared" si="2"/>
        <v>4.4</v>
      </c>
      <c r="G12" s="17"/>
      <c r="H12" s="19">
        <f t="shared" si="3"/>
        <v>44</v>
      </c>
      <c r="I12" s="14">
        <v>4.0</v>
      </c>
      <c r="J12" s="24"/>
      <c r="K12" s="20">
        <f>H12*3</f>
        <v>132</v>
      </c>
      <c r="L12" s="43">
        <v>65.0</v>
      </c>
      <c r="M12" s="40"/>
      <c r="N12" s="41"/>
      <c r="O12" s="41"/>
      <c r="P12" s="41"/>
      <c r="Q12" s="3"/>
      <c r="R12" s="3"/>
      <c r="S12" s="3"/>
      <c r="T12" s="3"/>
      <c r="U12" s="3"/>
      <c r="V12" s="3"/>
    </row>
    <row r="13" ht="18.0" customHeight="1">
      <c r="A13" s="3"/>
      <c r="B13" s="3"/>
      <c r="C13" s="3">
        <v>10.0</v>
      </c>
      <c r="D13" s="3">
        <v>52.0</v>
      </c>
      <c r="E13" s="14"/>
      <c r="F13" s="3">
        <f t="shared" si="2"/>
        <v>5.2</v>
      </c>
      <c r="G13" s="17"/>
      <c r="H13" s="19">
        <f t="shared" si="3"/>
        <v>52</v>
      </c>
      <c r="I13" s="14"/>
      <c r="J13" s="24">
        <f>H13*3</f>
        <v>156</v>
      </c>
      <c r="K13" s="20"/>
      <c r="L13" s="26"/>
      <c r="M13" s="32"/>
      <c r="N13" s="41"/>
      <c r="O13" s="41"/>
      <c r="P13" s="41"/>
      <c r="Q13" s="3"/>
      <c r="R13" s="3"/>
      <c r="S13" s="3"/>
      <c r="T13" s="3"/>
      <c r="U13" s="3"/>
      <c r="V13" s="3"/>
    </row>
    <row r="14" ht="18.0" customHeight="1">
      <c r="A14" s="27"/>
      <c r="B14" s="27"/>
      <c r="C14" s="27">
        <v>5.5</v>
      </c>
      <c r="D14" s="27">
        <v>22.0</v>
      </c>
      <c r="E14" s="28"/>
      <c r="F14" s="27">
        <f t="shared" si="2"/>
        <v>2.2</v>
      </c>
      <c r="G14" s="30"/>
      <c r="H14" s="31">
        <f t="shared" si="3"/>
        <v>22</v>
      </c>
      <c r="I14" s="28"/>
      <c r="J14" s="34"/>
      <c r="K14" s="39"/>
      <c r="L14" s="35"/>
      <c r="M14" s="32"/>
      <c r="N14" s="42"/>
      <c r="O14" s="42"/>
      <c r="P14" s="42"/>
      <c r="Q14" s="27"/>
      <c r="R14" s="27"/>
      <c r="S14" s="27"/>
      <c r="T14" s="27"/>
      <c r="U14" s="27"/>
      <c r="V14" s="27"/>
    </row>
    <row r="15" ht="15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80"/>
      <c r="O15" s="1"/>
      <c r="P15" s="44" t="s">
        <v>70</v>
      </c>
      <c r="Q15" s="45" t="s">
        <v>71</v>
      </c>
      <c r="R15" s="46"/>
      <c r="S15" s="47" t="s">
        <v>72</v>
      </c>
      <c r="T15" s="46"/>
      <c r="U15" s="48" t="s">
        <v>73</v>
      </c>
      <c r="V15" s="46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49" t="s">
        <v>74</v>
      </c>
      <c r="K16" s="50">
        <v>0.2</v>
      </c>
      <c r="L16" s="49">
        <v>23000.0</v>
      </c>
      <c r="M16" s="52">
        <f>K16*L16</f>
        <v>4600</v>
      </c>
      <c r="N16" s="65"/>
      <c r="O16" s="1"/>
      <c r="P16" s="54">
        <f>SUM(N10:P10)+M16</f>
        <v>111646</v>
      </c>
      <c r="Q16" s="5" t="s">
        <v>3</v>
      </c>
      <c r="R16" s="5" t="s">
        <v>77</v>
      </c>
      <c r="S16" s="55" t="s">
        <v>3</v>
      </c>
      <c r="T16" s="55" t="s">
        <v>77</v>
      </c>
      <c r="U16" s="9" t="s">
        <v>3</v>
      </c>
      <c r="V16" s="9" t="s">
        <v>77</v>
      </c>
    </row>
    <row r="17" ht="18.0" customHeight="1">
      <c r="A17" s="1" t="s">
        <v>115</v>
      </c>
      <c r="B17" s="1">
        <v>1.0</v>
      </c>
      <c r="C17" s="1">
        <v>2.0</v>
      </c>
      <c r="D17" s="1">
        <v>3.0</v>
      </c>
      <c r="E17" s="1" t="s">
        <v>116</v>
      </c>
      <c r="F17" s="1" t="s">
        <v>117</v>
      </c>
      <c r="G17" s="1"/>
      <c r="H17" s="1"/>
      <c r="I17" s="1"/>
      <c r="J17" s="1"/>
      <c r="K17" s="1"/>
      <c r="L17" s="1"/>
      <c r="M17" s="23"/>
      <c r="N17" s="3"/>
      <c r="O17" s="1"/>
      <c r="P17" s="41"/>
      <c r="Q17" s="5">
        <f>M3*F3+M6*F6+M9*F9</f>
        <v>1488</v>
      </c>
      <c r="R17" s="20">
        <f>M3*H3+M6*H6+M9*H9+(N16/2)</f>
        <v>14880</v>
      </c>
      <c r="S17" s="55">
        <f>M3*F4+F7*M6+F10*M9</f>
        <v>1321.2</v>
      </c>
      <c r="T17" s="57">
        <f>M3*H4+H7*M6+H11*M9+(N16/2)</f>
        <v>11340</v>
      </c>
      <c r="U17" s="9">
        <f>M3*F5+F8*M6+F11*M9</f>
        <v>744</v>
      </c>
      <c r="V17" s="58">
        <f>H5*L3+H8*L6+H11*L9</f>
        <v>2990</v>
      </c>
    </row>
    <row r="18" ht="15.0" customHeight="1">
      <c r="A18" s="1">
        <v>4.0</v>
      </c>
      <c r="B18" s="1">
        <v>0.0</v>
      </c>
      <c r="C18" s="1">
        <v>18.0</v>
      </c>
      <c r="D18" s="1">
        <v>0.0</v>
      </c>
      <c r="E18" s="1">
        <f t="shared" ref="E18:E29" si="4">SUM(B18:D18)</f>
        <v>18</v>
      </c>
      <c r="F18" s="1">
        <v>28170.0</v>
      </c>
      <c r="G18" s="1"/>
      <c r="H18" s="1"/>
      <c r="I18" s="1"/>
      <c r="J18" s="1"/>
      <c r="K18" s="1"/>
      <c r="L18" s="1" t="s">
        <v>78</v>
      </c>
      <c r="M18" s="23">
        <f>SUM(M3:M14)</f>
        <v>417</v>
      </c>
      <c r="N18" s="3"/>
      <c r="O18" s="1" t="s">
        <v>79</v>
      </c>
      <c r="P18" s="19">
        <f>SUM(N10:P10)</f>
        <v>107046</v>
      </c>
      <c r="Q18" s="5" t="s">
        <v>80</v>
      </c>
      <c r="R18" s="20">
        <f>R17*0.1</f>
        <v>1488</v>
      </c>
      <c r="S18" s="55"/>
      <c r="T18" s="57">
        <f>T17*0.1</f>
        <v>1134</v>
      </c>
      <c r="U18" s="9"/>
      <c r="V18" s="60">
        <f>V17*0.1</f>
        <v>299</v>
      </c>
    </row>
    <row r="19" ht="15.0" customHeight="1">
      <c r="A19" s="1">
        <v>6.0</v>
      </c>
      <c r="B19" s="1">
        <v>12.0</v>
      </c>
      <c r="C19" s="1">
        <v>6.0</v>
      </c>
      <c r="D19" s="1">
        <v>0.0</v>
      </c>
      <c r="E19" s="1">
        <f t="shared" si="4"/>
        <v>18</v>
      </c>
      <c r="F19" s="1">
        <v>24190.0</v>
      </c>
      <c r="G19" s="1"/>
      <c r="H19" s="1"/>
      <c r="I19" s="1"/>
      <c r="J19" s="62"/>
      <c r="K19" s="62"/>
      <c r="L19" s="62"/>
      <c r="M19" s="63"/>
      <c r="N19" s="3">
        <f>M19/M18</f>
        <v>0</v>
      </c>
      <c r="O19" s="1" t="s">
        <v>81</v>
      </c>
      <c r="P19" s="19">
        <f>P18/M18</f>
        <v>256.705036</v>
      </c>
      <c r="Q19" s="5"/>
      <c r="R19" s="5"/>
      <c r="S19" s="55"/>
      <c r="T19" s="55"/>
      <c r="U19" s="9"/>
      <c r="V19" s="9"/>
    </row>
    <row r="20" ht="15.0" customHeight="1">
      <c r="A20" s="1">
        <v>9.0</v>
      </c>
      <c r="B20" s="1">
        <v>0.0</v>
      </c>
      <c r="C20" s="1">
        <v>10.0</v>
      </c>
      <c r="D20" s="1">
        <v>12.0</v>
      </c>
      <c r="E20" s="1">
        <f t="shared" si="4"/>
        <v>22</v>
      </c>
      <c r="F20" s="1">
        <v>36574.0</v>
      </c>
      <c r="G20" s="1"/>
      <c r="H20" s="1"/>
      <c r="I20" s="66"/>
      <c r="J20" s="1"/>
      <c r="K20" s="1" t="s">
        <v>86</v>
      </c>
      <c r="L20" s="1" t="s">
        <v>87</v>
      </c>
      <c r="M20" s="3"/>
      <c r="N20" s="1"/>
      <c r="O20" s="1"/>
      <c r="P20" s="65"/>
      <c r="Q20" s="1" t="s">
        <v>84</v>
      </c>
      <c r="R20" s="1"/>
      <c r="S20" s="1"/>
      <c r="T20" s="1" t="s">
        <v>85</v>
      </c>
      <c r="U20" s="1"/>
      <c r="V20" s="1"/>
    </row>
    <row r="21" ht="15.0" customHeight="1">
      <c r="A21" s="1">
        <v>10.0</v>
      </c>
      <c r="B21" s="1">
        <v>0.0</v>
      </c>
      <c r="C21" s="1">
        <v>10.0</v>
      </c>
      <c r="D21" s="1">
        <v>12.0</v>
      </c>
      <c r="E21" s="1">
        <f t="shared" si="4"/>
        <v>22</v>
      </c>
      <c r="F21" s="1">
        <v>36574.0</v>
      </c>
      <c r="G21" s="1"/>
      <c r="H21" s="1"/>
      <c r="I21" s="68" t="s">
        <v>83</v>
      </c>
      <c r="J21" s="1" t="s">
        <v>88</v>
      </c>
      <c r="K21" s="69">
        <v>12.0</v>
      </c>
      <c r="L21" s="69">
        <v>62.0</v>
      </c>
      <c r="M21" s="3"/>
      <c r="N21" s="19">
        <f>P16*0.63</f>
        <v>70336.98</v>
      </c>
      <c r="O21" s="1"/>
      <c r="P21" s="19"/>
      <c r="Q21" s="67">
        <v>0.08</v>
      </c>
      <c r="R21" s="1"/>
      <c r="S21" s="1"/>
      <c r="T21" s="19">
        <f>SUM(R17:R18)+SUM(T17:T18)</f>
        <v>28842</v>
      </c>
      <c r="U21" s="1"/>
      <c r="V21" s="1"/>
    </row>
    <row r="22" ht="15.0" customHeight="1">
      <c r="A22" s="1">
        <v>11.0</v>
      </c>
      <c r="B22" s="1">
        <v>12.0</v>
      </c>
      <c r="C22" s="1">
        <v>6.0</v>
      </c>
      <c r="D22" s="1">
        <v>0.0</v>
      </c>
      <c r="E22" s="1">
        <f t="shared" si="4"/>
        <v>18</v>
      </c>
      <c r="F22" s="1">
        <v>24190.0</v>
      </c>
      <c r="G22" s="1"/>
      <c r="H22" s="1"/>
      <c r="I22" s="71">
        <v>466584.0</v>
      </c>
      <c r="J22" s="72">
        <v>0.2</v>
      </c>
      <c r="K22" s="52">
        <f>I22*J22</f>
        <v>93316.8</v>
      </c>
      <c r="L22" s="62"/>
      <c r="M22" s="62"/>
      <c r="N22" s="74"/>
      <c r="P22" s="1"/>
      <c r="Q22" s="19">
        <f>P17*Q21</f>
        <v>0</v>
      </c>
      <c r="R22" s="1"/>
      <c r="S22" s="1"/>
      <c r="T22" s="1"/>
      <c r="U22" s="1"/>
      <c r="V22" s="1"/>
    </row>
    <row r="23" ht="15.0" customHeight="1">
      <c r="A23" s="1">
        <v>12.0</v>
      </c>
      <c r="B23" s="1">
        <v>0.0</v>
      </c>
      <c r="C23" s="1">
        <v>18.0</v>
      </c>
      <c r="D23" s="1">
        <v>0.0</v>
      </c>
      <c r="E23" s="1">
        <f t="shared" si="4"/>
        <v>18</v>
      </c>
      <c r="F23" s="1">
        <v>28170.0</v>
      </c>
      <c r="G23" s="1"/>
      <c r="H23" s="1"/>
      <c r="I23" s="66"/>
      <c r="J23" s="1"/>
      <c r="K23" s="19"/>
      <c r="L23" s="1"/>
      <c r="M23" s="62"/>
      <c r="N23" s="74"/>
      <c r="P23" s="1"/>
      <c r="Q23" s="1"/>
      <c r="R23" s="1"/>
      <c r="S23" s="1"/>
      <c r="T23" s="1"/>
      <c r="U23" s="1"/>
      <c r="V23" s="1"/>
    </row>
    <row r="24" ht="15.0" customHeight="1">
      <c r="A24" s="1">
        <v>14.0</v>
      </c>
      <c r="B24" s="1">
        <v>0.0</v>
      </c>
      <c r="C24" s="1">
        <v>2.0</v>
      </c>
      <c r="D24" s="1">
        <v>0.0</v>
      </c>
      <c r="E24" s="1">
        <f t="shared" si="4"/>
        <v>2</v>
      </c>
      <c r="F24" s="1">
        <v>5124.0</v>
      </c>
      <c r="G24" s="1"/>
      <c r="H24" s="1"/>
      <c r="I24" s="1"/>
      <c r="J24" s="62"/>
      <c r="K24" s="62"/>
      <c r="L24" s="62"/>
      <c r="M24" s="62"/>
      <c r="N24" s="1"/>
      <c r="O24" s="62"/>
      <c r="P24" s="1"/>
      <c r="Q24" s="1"/>
      <c r="R24" s="1"/>
      <c r="S24" s="1"/>
      <c r="T24" s="1"/>
      <c r="U24" s="1"/>
      <c r="V24" s="1"/>
    </row>
    <row r="25" ht="15.0" customHeight="1">
      <c r="A25" s="1">
        <v>15.0</v>
      </c>
      <c r="B25" s="1">
        <v>0.0</v>
      </c>
      <c r="C25" s="1">
        <v>2.0</v>
      </c>
      <c r="D25" s="1">
        <v>0.0</v>
      </c>
      <c r="E25" s="1">
        <f t="shared" si="4"/>
        <v>2</v>
      </c>
      <c r="F25" s="1">
        <v>5124.0</v>
      </c>
      <c r="G25" s="1"/>
      <c r="H25" s="1"/>
      <c r="I25" s="72"/>
      <c r="J25" s="1" t="s">
        <v>92</v>
      </c>
      <c r="K25" s="1"/>
      <c r="L25" s="1"/>
      <c r="M25" s="3"/>
      <c r="N25" s="1"/>
      <c r="O25" s="62" t="s">
        <v>93</v>
      </c>
      <c r="P25" s="1"/>
      <c r="Q25" s="1"/>
      <c r="R25" s="1"/>
      <c r="S25" s="1"/>
      <c r="T25" s="1"/>
      <c r="U25" s="1"/>
      <c r="V25" s="1"/>
    </row>
    <row r="26" ht="15.0" customHeight="1">
      <c r="A26" s="1">
        <v>16.0</v>
      </c>
      <c r="B26" s="1">
        <v>0.0</v>
      </c>
      <c r="C26" s="1">
        <v>2.0</v>
      </c>
      <c r="D26" s="1">
        <v>0.0</v>
      </c>
      <c r="E26" s="1">
        <f t="shared" si="4"/>
        <v>2</v>
      </c>
      <c r="F26" s="1">
        <v>5124.0</v>
      </c>
      <c r="G26" s="1"/>
      <c r="H26" s="1"/>
      <c r="I26" s="72"/>
      <c r="J26" s="72"/>
      <c r="K26" s="72"/>
      <c r="L26" s="72"/>
      <c r="M26" s="72" t="s">
        <v>94</v>
      </c>
      <c r="N26" s="72"/>
      <c r="O26" s="62"/>
      <c r="P26" s="1"/>
      <c r="Q26" s="1"/>
      <c r="R26" s="19"/>
      <c r="S26" s="1"/>
      <c r="T26" s="1"/>
      <c r="U26" s="1"/>
      <c r="V26" s="1"/>
    </row>
    <row r="27" ht="15.0" customHeight="1">
      <c r="A27" s="1">
        <v>17.0</v>
      </c>
      <c r="B27" s="1">
        <v>0.0</v>
      </c>
      <c r="C27" s="1">
        <v>2.0</v>
      </c>
      <c r="D27" s="1">
        <v>0.0</v>
      </c>
      <c r="E27" s="1">
        <f t="shared" si="4"/>
        <v>2</v>
      </c>
      <c r="F27" s="1">
        <v>5124.0</v>
      </c>
      <c r="G27" s="1"/>
      <c r="H27" s="1"/>
      <c r="I27" s="72" t="s">
        <v>95</v>
      </c>
      <c r="J27" s="72" t="s">
        <v>26</v>
      </c>
      <c r="K27" s="72">
        <f>I22*0.1</f>
        <v>46658.4</v>
      </c>
      <c r="L27" s="72"/>
      <c r="M27" s="75">
        <f>0.09*I22</f>
        <v>41992.56</v>
      </c>
      <c r="N27" s="72"/>
      <c r="O27" s="76" t="s">
        <v>97</v>
      </c>
      <c r="P27" s="77">
        <f>N10/P19</f>
        <v>154.4028922</v>
      </c>
      <c r="Q27" s="1"/>
      <c r="R27" s="19"/>
      <c r="S27" s="1"/>
      <c r="T27" s="1"/>
      <c r="U27" s="1"/>
      <c r="V27" s="1"/>
    </row>
    <row r="28" ht="15.0" customHeight="1">
      <c r="A28" s="1">
        <v>18.0</v>
      </c>
      <c r="B28" s="1">
        <v>0.0</v>
      </c>
      <c r="C28" s="1">
        <v>2.0</v>
      </c>
      <c r="D28" s="1">
        <v>0.0</v>
      </c>
      <c r="E28" s="1">
        <f t="shared" si="4"/>
        <v>2</v>
      </c>
      <c r="F28" s="1">
        <v>5124.0</v>
      </c>
      <c r="G28" s="1"/>
      <c r="H28" s="1"/>
      <c r="I28" s="72" t="s">
        <v>98</v>
      </c>
      <c r="J28" s="72" t="s">
        <v>25</v>
      </c>
      <c r="K28" s="72">
        <f>I22*0.14</f>
        <v>65321.76</v>
      </c>
      <c r="L28" s="72"/>
      <c r="M28" s="75">
        <f>0.12*I22</f>
        <v>55990.08</v>
      </c>
      <c r="N28" s="72"/>
      <c r="O28" s="76" t="s">
        <v>99</v>
      </c>
      <c r="P28" s="77">
        <f>O10/P19</f>
        <v>173.8960821</v>
      </c>
      <c r="Q28" s="1"/>
      <c r="R28" s="1"/>
      <c r="S28" s="70" t="s">
        <v>89</v>
      </c>
      <c r="T28" s="73">
        <f>P17-T21</f>
        <v>-28842</v>
      </c>
      <c r="U28" s="1"/>
      <c r="V28" s="1"/>
    </row>
    <row r="29" ht="15.0" customHeight="1">
      <c r="A29" s="1">
        <v>19.0</v>
      </c>
      <c r="B29" s="1">
        <v>0.0</v>
      </c>
      <c r="C29" s="1">
        <v>2.0</v>
      </c>
      <c r="D29" s="1">
        <v>0.0</v>
      </c>
      <c r="E29" s="1">
        <f t="shared" si="4"/>
        <v>2</v>
      </c>
      <c r="F29" s="1">
        <v>5124.0</v>
      </c>
      <c r="G29" s="1"/>
      <c r="H29" s="1"/>
      <c r="I29" s="72" t="s">
        <v>100</v>
      </c>
      <c r="J29" s="72" t="s">
        <v>101</v>
      </c>
      <c r="K29" s="72">
        <f>I22*0.06</f>
        <v>27995.04</v>
      </c>
      <c r="L29" s="72"/>
      <c r="M29" s="75">
        <f>0.06*I22</f>
        <v>27995.04</v>
      </c>
      <c r="N29" s="72"/>
      <c r="O29" s="76" t="s">
        <v>49</v>
      </c>
      <c r="P29" s="77">
        <f>P10/P19</f>
        <v>88.70102573</v>
      </c>
      <c r="Q29" s="1"/>
      <c r="R29" s="1"/>
      <c r="S29" s="1" t="s">
        <v>90</v>
      </c>
      <c r="T29" s="19">
        <f>P17-T21-Q22</f>
        <v>-28842</v>
      </c>
      <c r="U29" s="1"/>
      <c r="V29" s="1"/>
    </row>
    <row r="30" ht="15.0" customHeight="1">
      <c r="A30" s="1" t="s">
        <v>118</v>
      </c>
      <c r="B30" s="1"/>
      <c r="C30" s="1"/>
      <c r="D30" s="1"/>
      <c r="E30" s="1"/>
      <c r="F30" s="1">
        <v>5874.0</v>
      </c>
      <c r="G30" s="1"/>
      <c r="H30" s="1"/>
      <c r="I30" s="72"/>
      <c r="J30" s="72" t="s">
        <v>102</v>
      </c>
      <c r="K30" s="1"/>
      <c r="L30" s="72">
        <f>K31/I22</f>
        <v>0.3</v>
      </c>
      <c r="M30" s="75">
        <f>0.04*I22</f>
        <v>18663.36</v>
      </c>
      <c r="N30" s="72"/>
      <c r="O30" s="19"/>
      <c r="P30" s="1"/>
      <c r="Q30" s="1"/>
      <c r="R30" s="1"/>
      <c r="S30" s="1"/>
      <c r="T30" s="1"/>
      <c r="U30" s="1"/>
      <c r="V30" s="1"/>
    </row>
    <row r="31" ht="18.0" customHeight="1">
      <c r="A31" s="1"/>
      <c r="B31" s="1"/>
      <c r="C31" s="1"/>
      <c r="D31" s="1"/>
      <c r="E31" s="1"/>
      <c r="F31" s="1">
        <v>853.0</v>
      </c>
      <c r="G31" s="1"/>
      <c r="H31" s="1"/>
      <c r="I31" s="72"/>
      <c r="J31" s="72" t="s">
        <v>103</v>
      </c>
      <c r="K31" s="78">
        <f>SUM(K27:K29)</f>
        <v>139975.2</v>
      </c>
      <c r="L31" s="72"/>
      <c r="M31" s="78">
        <f>SUM(M27:M30)</f>
        <v>144641.04</v>
      </c>
      <c r="N31" s="72"/>
      <c r="O31" s="1"/>
      <c r="P31" s="19"/>
      <c r="Q31" s="1"/>
      <c r="R31" s="1"/>
      <c r="S31" s="1"/>
      <c r="T31" s="1"/>
      <c r="U31" s="1"/>
      <c r="V31" s="1"/>
    </row>
    <row r="32" ht="15.0" customHeight="1">
      <c r="A32" s="1"/>
      <c r="B32" s="1"/>
      <c r="C32" s="1"/>
      <c r="D32" s="1"/>
      <c r="E32" s="1"/>
      <c r="F32" s="1">
        <v>407.0</v>
      </c>
      <c r="G32" s="1"/>
      <c r="H32" s="1"/>
      <c r="I32" s="1"/>
      <c r="J32" s="62"/>
      <c r="K32" s="62"/>
      <c r="L32" s="62"/>
      <c r="M32" s="62"/>
      <c r="N32" s="19"/>
      <c r="O32" s="19"/>
      <c r="P32" s="1"/>
      <c r="Q32" s="1"/>
      <c r="R32" s="1"/>
      <c r="S32" s="1" t="s">
        <v>104</v>
      </c>
      <c r="T32" s="1"/>
      <c r="U32" s="1"/>
      <c r="V32" s="1"/>
    </row>
    <row r="33" ht="15.0" customHeight="1">
      <c r="A33" s="1">
        <v>1.0</v>
      </c>
      <c r="B33" s="1"/>
      <c r="C33" s="1"/>
      <c r="D33" s="1"/>
      <c r="E33" s="1"/>
      <c r="F33" s="1"/>
      <c r="G33" s="1" t="s">
        <v>119</v>
      </c>
      <c r="H33" s="19">
        <f>J22</f>
        <v>0.2</v>
      </c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</row>
    <row r="34" ht="15.0" customHeight="1">
      <c r="A34" s="1">
        <v>2.0</v>
      </c>
      <c r="B34" s="1"/>
      <c r="C34" s="1"/>
      <c r="D34" s="1" t="s">
        <v>120</v>
      </c>
      <c r="E34" s="1">
        <f>SUM(E36,E35)</f>
        <v>19</v>
      </c>
      <c r="F34" s="1"/>
      <c r="G34" s="1" t="s">
        <v>121</v>
      </c>
      <c r="H34" s="19">
        <f>I22*0.066</f>
        <v>30794.544</v>
      </c>
      <c r="I34" s="1"/>
      <c r="J34" s="1"/>
      <c r="K34" s="1"/>
      <c r="L34" s="1"/>
      <c r="M34" s="3" t="s">
        <v>122</v>
      </c>
      <c r="N34" s="19">
        <f>K31*0.63</f>
        <v>88184.376</v>
      </c>
      <c r="O34" s="1" t="s">
        <v>123</v>
      </c>
      <c r="P34" s="1"/>
      <c r="Q34" s="1"/>
      <c r="R34" s="1"/>
      <c r="S34" s="62" t="s">
        <v>105</v>
      </c>
      <c r="T34" s="76">
        <f>25000-N18</f>
        <v>25000</v>
      </c>
      <c r="U34" s="1"/>
      <c r="V34" s="1"/>
    </row>
    <row r="35" ht="15.0" customHeight="1">
      <c r="A35" s="1">
        <v>3.0</v>
      </c>
      <c r="B35" s="1"/>
      <c r="C35" s="1"/>
      <c r="D35" s="1" t="s">
        <v>124</v>
      </c>
      <c r="E35" s="1">
        <f>COUNTA(A33:A39)</f>
        <v>7</v>
      </c>
      <c r="F35" s="1"/>
      <c r="G35" s="1" t="s">
        <v>125</v>
      </c>
      <c r="H35" s="19">
        <f>I22*0.093</f>
        <v>43392.312</v>
      </c>
      <c r="I35" s="1"/>
      <c r="J35" s="1"/>
      <c r="K35" s="1"/>
      <c r="L35" s="1"/>
      <c r="M35" s="3"/>
      <c r="N35" s="62"/>
      <c r="O35" s="62"/>
      <c r="P35" s="1"/>
      <c r="Q35" s="1"/>
      <c r="R35" s="1"/>
      <c r="S35" s="62" t="s">
        <v>106</v>
      </c>
      <c r="T35" s="76" t="str">
        <f>T34/M20</f>
        <v>#DIV/0!</v>
      </c>
      <c r="U35" s="1"/>
      <c r="V35" s="1"/>
    </row>
    <row r="36" ht="15.0" customHeight="1">
      <c r="A36" s="1">
        <v>5.0</v>
      </c>
      <c r="B36" s="1"/>
      <c r="C36" s="1"/>
      <c r="D36" s="1" t="s">
        <v>126</v>
      </c>
      <c r="E36" s="1">
        <f>COUNTA(A18:A29)</f>
        <v>12</v>
      </c>
      <c r="F36" s="1">
        <f>E36/E34</f>
        <v>0.6315789474</v>
      </c>
      <c r="G36" s="1" t="s">
        <v>127</v>
      </c>
      <c r="H36" s="19">
        <f>I22*0.04</f>
        <v>18663.36</v>
      </c>
      <c r="I36" s="1"/>
      <c r="J36" s="62" t="s">
        <v>107</v>
      </c>
      <c r="K36" s="62"/>
      <c r="L36" s="76">
        <f>P19/I22</f>
        <v>0.0005501796803</v>
      </c>
      <c r="M36" s="62"/>
      <c r="N36" s="62"/>
      <c r="O36" s="62"/>
      <c r="P36" s="1"/>
      <c r="Q36" s="1"/>
      <c r="R36" s="1"/>
      <c r="S36" s="62"/>
      <c r="T36" s="62"/>
      <c r="U36" s="1"/>
      <c r="V36" s="1"/>
    </row>
    <row r="37" ht="15.0" customHeight="1">
      <c r="A37" s="1">
        <v>7.0</v>
      </c>
      <c r="B37" s="1"/>
      <c r="C37" s="1"/>
      <c r="D37" s="1"/>
      <c r="E37" s="1"/>
      <c r="F37" s="1"/>
      <c r="G37" s="1"/>
      <c r="H37" s="1"/>
      <c r="I37" s="1"/>
      <c r="J37" s="62"/>
      <c r="K37" s="62" t="s">
        <v>108</v>
      </c>
      <c r="L37" s="62" t="s">
        <v>109</v>
      </c>
      <c r="M37" s="62" t="s">
        <v>110</v>
      </c>
      <c r="N37" s="62"/>
      <c r="O37" s="62"/>
      <c r="P37" s="1"/>
      <c r="Q37" s="1"/>
      <c r="R37" s="1"/>
      <c r="S37" s="62" t="s">
        <v>111</v>
      </c>
      <c r="T37" s="76">
        <f>27000-N18</f>
        <v>27000</v>
      </c>
      <c r="U37" s="1"/>
      <c r="V37" s="1"/>
    </row>
    <row r="38" ht="15.0" customHeight="1">
      <c r="A38" s="1">
        <v>8.0</v>
      </c>
      <c r="B38" s="1"/>
      <c r="C38" s="1"/>
      <c r="D38" s="1"/>
      <c r="E38" s="1"/>
      <c r="F38" s="1"/>
      <c r="G38" s="1"/>
      <c r="H38" s="1"/>
      <c r="I38" s="1"/>
      <c r="J38" s="62" t="s">
        <v>112</v>
      </c>
      <c r="K38" s="62">
        <v>603.0</v>
      </c>
      <c r="L38" s="62">
        <v>630.0</v>
      </c>
      <c r="M38" s="62"/>
      <c r="N38" s="62"/>
      <c r="O38" s="62"/>
      <c r="P38" s="1"/>
      <c r="Q38" s="1"/>
      <c r="R38" s="1"/>
      <c r="S38" s="62" t="s">
        <v>113</v>
      </c>
      <c r="T38" s="76" t="str">
        <f>T37/M20</f>
        <v>#DIV/0!</v>
      </c>
      <c r="U38" s="1"/>
      <c r="V38" s="1"/>
    </row>
    <row r="39" ht="15.0" customHeight="1">
      <c r="A39" s="1">
        <v>13.0</v>
      </c>
      <c r="B39" s="1"/>
      <c r="C39" s="1"/>
      <c r="D39" s="1"/>
      <c r="E39" s="1"/>
      <c r="F39" s="1"/>
      <c r="G39" s="1"/>
      <c r="H39" s="1"/>
      <c r="I39" s="1"/>
      <c r="J39" s="62"/>
      <c r="K39" s="62">
        <v>505.0</v>
      </c>
      <c r="L39" s="62">
        <v>621.0</v>
      </c>
      <c r="M39" s="62"/>
      <c r="N39" s="62" t="s">
        <v>128</v>
      </c>
      <c r="O39" s="62">
        <v>90.0</v>
      </c>
      <c r="P39" s="1"/>
      <c r="Q39" s="1"/>
      <c r="R39" s="1"/>
      <c r="S39" s="1"/>
      <c r="T39" s="1"/>
      <c r="U39" s="1"/>
      <c r="V39" s="1"/>
    </row>
    <row r="40" ht="15.0" customHeight="1">
      <c r="A40" s="1" t="s">
        <v>129</v>
      </c>
      <c r="B40" s="1"/>
      <c r="C40" s="1"/>
      <c r="D40" s="1"/>
      <c r="E40" s="1"/>
      <c r="F40" s="1"/>
      <c r="G40" s="1"/>
      <c r="H40" s="1"/>
      <c r="I40" s="1"/>
      <c r="J40" s="62"/>
      <c r="K40" s="62">
        <v>721.0</v>
      </c>
      <c r="L40" s="62">
        <v>611.0</v>
      </c>
      <c r="M40" s="62"/>
      <c r="N40" s="62" t="s">
        <v>99</v>
      </c>
      <c r="O40" s="62">
        <v>130.0</v>
      </c>
      <c r="P40" s="1"/>
      <c r="Q40" s="1"/>
      <c r="R40" s="1"/>
      <c r="S40" s="1"/>
      <c r="T40" s="1"/>
      <c r="U40" s="1"/>
      <c r="V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62"/>
      <c r="K41" s="62">
        <v>568.0</v>
      </c>
      <c r="L41" s="62">
        <v>608.0</v>
      </c>
      <c r="M41" s="62"/>
      <c r="N41" s="62" t="s">
        <v>49</v>
      </c>
      <c r="O41" s="62">
        <v>70.0</v>
      </c>
      <c r="P41" s="1"/>
      <c r="Q41" s="1"/>
      <c r="R41" s="1"/>
      <c r="S41" s="1"/>
      <c r="T41" s="1"/>
      <c r="U41" s="1"/>
      <c r="V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62"/>
      <c r="K42" s="62">
        <v>590.0</v>
      </c>
      <c r="L42" s="62">
        <v>541.0</v>
      </c>
      <c r="M42" s="62"/>
      <c r="N42" s="62"/>
      <c r="O42" s="62"/>
      <c r="P42" s="1"/>
      <c r="Q42" s="1"/>
      <c r="R42" s="1"/>
      <c r="S42" s="1"/>
      <c r="T42" s="1"/>
      <c r="U42" s="1"/>
      <c r="V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62"/>
      <c r="K43" s="62"/>
      <c r="L43" s="62">
        <v>591.0</v>
      </c>
      <c r="M43" s="62"/>
      <c r="N43" s="62"/>
      <c r="O43" s="62"/>
      <c r="P43" s="1"/>
      <c r="Q43" s="1"/>
      <c r="R43" s="1"/>
      <c r="S43" s="1"/>
      <c r="T43" s="1"/>
      <c r="U43" s="1"/>
      <c r="V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62"/>
      <c r="K44" s="62">
        <f>SUM(K38:K42)</f>
        <v>2987</v>
      </c>
      <c r="L44" s="62">
        <f>3*SUM(L38:L43)</f>
        <v>10806</v>
      </c>
      <c r="M44" s="62"/>
      <c r="N44" s="62"/>
      <c r="O44" s="62"/>
      <c r="P44" s="1"/>
      <c r="Q44" s="1"/>
      <c r="R44" s="1"/>
      <c r="S44" s="1"/>
      <c r="T44" s="1"/>
      <c r="U44" s="1"/>
      <c r="V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62"/>
      <c r="K45" s="62">
        <f>SUM(K44:M44)</f>
        <v>13793</v>
      </c>
      <c r="L45" s="62"/>
      <c r="M45" s="62"/>
      <c r="N45" s="62"/>
      <c r="O45" s="62"/>
      <c r="P45" s="1"/>
      <c r="Q45" s="1"/>
      <c r="R45" s="1"/>
      <c r="S45" s="1"/>
      <c r="T45" s="1"/>
      <c r="U45" s="1"/>
      <c r="V45" s="1"/>
    </row>
  </sheetData>
  <mergeCells count="13">
    <mergeCell ref="N22:O22"/>
    <mergeCell ref="N23:O23"/>
    <mergeCell ref="M9:M11"/>
    <mergeCell ref="L9:L11"/>
    <mergeCell ref="L3:L5"/>
    <mergeCell ref="L6:L8"/>
    <mergeCell ref="L12:L14"/>
    <mergeCell ref="M12:M14"/>
    <mergeCell ref="Q15:R15"/>
    <mergeCell ref="S15:T15"/>
    <mergeCell ref="U15:V15"/>
    <mergeCell ref="M3:M5"/>
    <mergeCell ref="M6:M8"/>
  </mergeCells>
  <drawing r:id="rId2"/>
  <legacyDrawing r:id="rId3"/>
</worksheet>
</file>